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6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drawings/drawing7.xml" ContentType="application/vnd.openxmlformats-officedocument.drawing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drawings/drawing8.xml" ContentType="application/vnd.openxmlformats-officedocument.drawing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9.xml" ContentType="application/vnd.openxmlformats-officedocument.drawing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drawings/drawing10.xml" ContentType="application/vnd.openxmlformats-officedocument.drawing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drawings/drawing11.xml" ContentType="application/vnd.openxmlformats-officedocument.drawing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drawings/drawing12.xml" ContentType="application/vnd.openxmlformats-officedocument.drawing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drawings/drawing13.xml" ContentType="application/vnd.openxmlformats-officedocument.drawing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drawings/drawing14.xml" ContentType="application/vnd.openxmlformats-officedocument.drawing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drawings/drawing15.xml" ContentType="application/vnd.openxmlformats-officedocument.drawing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drawings/drawing16.xml" ContentType="application/vnd.openxmlformats-officedocument.drawing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drawings/drawing17.xml" ContentType="application/vnd.openxmlformats-officedocument.drawing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drawings/drawing18.xml" ContentType="application/vnd.openxmlformats-officedocument.drawing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drawings/drawing19.xml" ContentType="application/vnd.openxmlformats-officedocument.drawing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drawings/drawing20.xml" ContentType="application/vnd.openxmlformats-officedocument.drawing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drawings/drawing21.xml" ContentType="application/vnd.openxmlformats-officedocument.drawing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drawings/drawing22.xml" ContentType="application/vnd.openxmlformats-officedocument.drawing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charts/chart101.xml" ContentType="application/vnd.openxmlformats-officedocument.drawingml.chart+xml"/>
  <Override PartName="/xl/charts/style101.xml" ContentType="application/vnd.ms-office.chartstyle+xml"/>
  <Override PartName="/xl/charts/colors101.xml" ContentType="application/vnd.ms-office.chartcolorstyle+xml"/>
  <Override PartName="/xl/charts/chart102.xml" ContentType="application/vnd.openxmlformats-officedocument.drawingml.chart+xml"/>
  <Override PartName="/xl/charts/style102.xml" ContentType="application/vnd.ms-office.chartstyle+xml"/>
  <Override PartName="/xl/charts/colors102.xml" ContentType="application/vnd.ms-office.chartcolorstyle+xml"/>
  <Override PartName="/xl/drawings/drawing23.xml" ContentType="application/vnd.openxmlformats-officedocument.drawing+xml"/>
  <Override PartName="/xl/charts/chart103.xml" ContentType="application/vnd.openxmlformats-officedocument.drawingml.chart+xml"/>
  <Override PartName="/xl/charts/style103.xml" ContentType="application/vnd.ms-office.chartstyle+xml"/>
  <Override PartName="/xl/charts/colors103.xml" ContentType="application/vnd.ms-office.chartcolorstyle+xml"/>
  <Override PartName="/xl/charts/chart104.xml" ContentType="application/vnd.openxmlformats-officedocument.drawingml.chart+xml"/>
  <Override PartName="/xl/charts/style104.xml" ContentType="application/vnd.ms-office.chartstyle+xml"/>
  <Override PartName="/xl/charts/colors104.xml" ContentType="application/vnd.ms-office.chartcolorstyle+xml"/>
  <Override PartName="/xl/drawings/drawing24.xml" ContentType="application/vnd.openxmlformats-officedocument.drawing+xml"/>
  <Override PartName="/xl/charts/chart105.xml" ContentType="application/vnd.openxmlformats-officedocument.drawingml.chart+xml"/>
  <Override PartName="/xl/charts/style105.xml" ContentType="application/vnd.ms-office.chartstyle+xml"/>
  <Override PartName="/xl/charts/colors105.xml" ContentType="application/vnd.ms-office.chartcolorstyle+xml"/>
  <Override PartName="/xl/charts/chart106.xml" ContentType="application/vnd.openxmlformats-officedocument.drawingml.chart+xml"/>
  <Override PartName="/xl/charts/style106.xml" ContentType="application/vnd.ms-office.chartstyle+xml"/>
  <Override PartName="/xl/charts/colors106.xml" ContentType="application/vnd.ms-office.chartcolorstyle+xml"/>
  <Override PartName="/xl/drawings/drawing25.xml" ContentType="application/vnd.openxmlformats-officedocument.drawing+xml"/>
  <Override PartName="/xl/charts/chart107.xml" ContentType="application/vnd.openxmlformats-officedocument.drawingml.chart+xml"/>
  <Override PartName="/xl/charts/style107.xml" ContentType="application/vnd.ms-office.chartstyle+xml"/>
  <Override PartName="/xl/charts/colors107.xml" ContentType="application/vnd.ms-office.chartcolorstyle+xml"/>
  <Override PartName="/xl/charts/chart108.xml" ContentType="application/vnd.openxmlformats-officedocument.drawingml.chart+xml"/>
  <Override PartName="/xl/charts/style108.xml" ContentType="application/vnd.ms-office.chartstyle+xml"/>
  <Override PartName="/xl/charts/colors108.xml" ContentType="application/vnd.ms-office.chartcolorstyle+xml"/>
  <Override PartName="/xl/drawings/drawing26.xml" ContentType="application/vnd.openxmlformats-officedocument.drawing+xml"/>
  <Override PartName="/xl/charts/chart109.xml" ContentType="application/vnd.openxmlformats-officedocument.drawingml.chart+xml"/>
  <Override PartName="/xl/charts/style109.xml" ContentType="application/vnd.ms-office.chartstyle+xml"/>
  <Override PartName="/xl/charts/colors109.xml" ContentType="application/vnd.ms-office.chartcolorstyle+xml"/>
  <Override PartName="/xl/charts/chart110.xml" ContentType="application/vnd.openxmlformats-officedocument.drawingml.chart+xml"/>
  <Override PartName="/xl/charts/style110.xml" ContentType="application/vnd.ms-office.chartstyle+xml"/>
  <Override PartName="/xl/charts/colors110.xml" ContentType="application/vnd.ms-office.chartcolorstyle+xml"/>
  <Override PartName="/xl/drawings/drawing27.xml" ContentType="application/vnd.openxmlformats-officedocument.drawing+xml"/>
  <Override PartName="/xl/charts/chart111.xml" ContentType="application/vnd.openxmlformats-officedocument.drawingml.chart+xml"/>
  <Override PartName="/xl/charts/style111.xml" ContentType="application/vnd.ms-office.chartstyle+xml"/>
  <Override PartName="/xl/charts/colors111.xml" ContentType="application/vnd.ms-office.chartcolorstyle+xml"/>
  <Override PartName="/xl/charts/chart112.xml" ContentType="application/vnd.openxmlformats-officedocument.drawingml.chart+xml"/>
  <Override PartName="/xl/charts/style112.xml" ContentType="application/vnd.ms-office.chartstyle+xml"/>
  <Override PartName="/xl/charts/colors112.xml" ContentType="application/vnd.ms-office.chartcolorstyle+xml"/>
  <Override PartName="/xl/drawings/drawing28.xml" ContentType="application/vnd.openxmlformats-officedocument.drawing+xml"/>
  <Override PartName="/xl/charts/chart113.xml" ContentType="application/vnd.openxmlformats-officedocument.drawingml.chart+xml"/>
  <Override PartName="/xl/charts/style113.xml" ContentType="application/vnd.ms-office.chartstyle+xml"/>
  <Override PartName="/xl/charts/colors113.xml" ContentType="application/vnd.ms-office.chartcolorstyle+xml"/>
  <Override PartName="/xl/charts/chart114.xml" ContentType="application/vnd.openxmlformats-officedocument.drawingml.chart+xml"/>
  <Override PartName="/xl/charts/style114.xml" ContentType="application/vnd.ms-office.chartstyle+xml"/>
  <Override PartName="/xl/charts/colors114.xml" ContentType="application/vnd.ms-office.chartcolorstyle+xml"/>
  <Override PartName="/xl/drawings/drawing29.xml" ContentType="application/vnd.openxmlformats-officedocument.drawing+xml"/>
  <Override PartName="/xl/charts/chart115.xml" ContentType="application/vnd.openxmlformats-officedocument.drawingml.chart+xml"/>
  <Override PartName="/xl/charts/style115.xml" ContentType="application/vnd.ms-office.chartstyle+xml"/>
  <Override PartName="/xl/charts/colors115.xml" ContentType="application/vnd.ms-office.chartcolorstyle+xml"/>
  <Override PartName="/xl/charts/chart116.xml" ContentType="application/vnd.openxmlformats-officedocument.drawingml.chart+xml"/>
  <Override PartName="/xl/charts/style116.xml" ContentType="application/vnd.ms-office.chartstyle+xml"/>
  <Override PartName="/xl/charts/colors116.xml" ContentType="application/vnd.ms-office.chartcolorstyle+xml"/>
  <Override PartName="/xl/drawings/drawing30.xml" ContentType="application/vnd.openxmlformats-officedocument.drawing+xml"/>
  <Override PartName="/xl/charts/chart117.xml" ContentType="application/vnd.openxmlformats-officedocument.drawingml.chart+xml"/>
  <Override PartName="/xl/charts/style117.xml" ContentType="application/vnd.ms-office.chartstyle+xml"/>
  <Override PartName="/xl/charts/colors117.xml" ContentType="application/vnd.ms-office.chartcolorstyle+xml"/>
  <Override PartName="/xl/drawings/drawing31.xml" ContentType="application/vnd.openxmlformats-officedocument.drawing+xml"/>
  <Override PartName="/xl/charts/chart118.xml" ContentType="application/vnd.openxmlformats-officedocument.drawingml.chart+xml"/>
  <Override PartName="/xl/charts/style118.xml" ContentType="application/vnd.ms-office.chartstyle+xml"/>
  <Override PartName="/xl/charts/colors118.xml" ContentType="application/vnd.ms-office.chartcolorstyle+xml"/>
  <Override PartName="/xl/charts/chart119.xml" ContentType="application/vnd.openxmlformats-officedocument.drawingml.chart+xml"/>
  <Override PartName="/xl/charts/style119.xml" ContentType="application/vnd.ms-office.chartstyle+xml"/>
  <Override PartName="/xl/charts/colors119.xml" ContentType="application/vnd.ms-office.chartcolorstyle+xml"/>
  <Override PartName="/xl/drawings/drawing32.xml" ContentType="application/vnd.openxmlformats-officedocument.drawing+xml"/>
  <Override PartName="/xl/charts/chart120.xml" ContentType="application/vnd.openxmlformats-officedocument.drawingml.chart+xml"/>
  <Override PartName="/xl/charts/style120.xml" ContentType="application/vnd.ms-office.chartstyle+xml"/>
  <Override PartName="/xl/charts/colors1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YH\ANÁLISIS ECONÓMICOS\DATOS FEGA - REGEPA\DATOS PROCESADOS 2020\REALIDAD PRODUCTIVA - RESULTADOS FINALES (PRÁCTICAS IRENE)\CÍTRICOS\"/>
    </mc:Choice>
  </mc:AlternateContent>
  <bookViews>
    <workbookView xWindow="-120" yWindow="-120" windowWidth="20730" windowHeight="11760"/>
  </bookViews>
  <sheets>
    <sheet name="INDICE" sheetId="1" r:id="rId1"/>
    <sheet name="Cítricos" sheetId="43" r:id="rId2"/>
    <sheet name="NAR-REPR" sheetId="2" r:id="rId3"/>
    <sheet name="PC-REPR" sheetId="3" r:id="rId4"/>
    <sheet name="LIM-REPR" sheetId="4" r:id="rId5"/>
    <sheet name="POM-REPR" sheetId="5" r:id="rId6"/>
    <sheet name="NAR-EDAD" sheetId="6" r:id="rId7"/>
    <sheet name="PC-EDAD" sheetId="7" r:id="rId8"/>
    <sheet name="CLE-EDAD" sheetId="25" r:id="rId9"/>
    <sheet name="MAN-EDAD" sheetId="26" r:id="rId10"/>
    <sheet name="MH-EDAD" sheetId="27" r:id="rId11"/>
    <sheet name="SAT-EDAD" sheetId="28" r:id="rId12"/>
    <sheet name="LIM-EDAD" sheetId="8" r:id="rId13"/>
    <sheet name="POM-EDAD" sheetId="9" r:id="rId14"/>
    <sheet name="NAR-PEND" sheetId="10" r:id="rId15"/>
    <sheet name="PC-PEND" sheetId="12" r:id="rId16"/>
    <sheet name="CLE-PEND" sheetId="37" r:id="rId17"/>
    <sheet name="MAN-PEND" sheetId="38" r:id="rId18"/>
    <sheet name="MH-PEND" sheetId="39" r:id="rId19"/>
    <sheet name="SAT-PEND" sheetId="40" r:id="rId20"/>
    <sheet name="LIM-PEND" sheetId="41" r:id="rId21"/>
    <sheet name="POM-PEND" sheetId="42" r:id="rId22"/>
    <sheet name="NAR-EXPL" sheetId="14" r:id="rId23"/>
    <sheet name="PC-EXPL" sheetId="15" r:id="rId24"/>
    <sheet name="CLE-EXPL" sheetId="33" r:id="rId25"/>
    <sheet name="MAN-EXPL" sheetId="34" r:id="rId26"/>
    <sheet name="MH-EXPL" sheetId="35" r:id="rId27"/>
    <sheet name="SAT-EXPL" sheetId="36" r:id="rId28"/>
    <sheet name="LIM-EXPL" sheetId="16" r:id="rId29"/>
    <sheet name="POM-EXPL" sheetId="17" r:id="rId30"/>
    <sheet name="NAR-VAR" sheetId="18" r:id="rId31"/>
    <sheet name="PC-VAR" sheetId="19" r:id="rId32"/>
    <sheet name="LIM-VAR" sheetId="20" r:id="rId33"/>
  </sheets>
  <externalReferences>
    <externalReference r:id="rId34"/>
  </externalReferences>
  <definedNames>
    <definedName name="_xlnm._FilterDatabase" localSheetId="31" hidden="1">'PC-VAR'!$A$4:$E$18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0" i="8" l="1"/>
  <c r="W40" i="8"/>
  <c r="AA21" i="14" l="1"/>
  <c r="AA37" i="8" l="1"/>
  <c r="AA16" i="8"/>
  <c r="AA4" i="8"/>
  <c r="AA15" i="6"/>
  <c r="AA4" i="6"/>
  <c r="AA20" i="7"/>
  <c r="AA12" i="7"/>
  <c r="AA4" i="7"/>
  <c r="G48" i="8" l="1"/>
  <c r="B44" i="19" l="1"/>
  <c r="B37" i="19"/>
  <c r="B39" i="19"/>
  <c r="B40" i="19"/>
  <c r="B38" i="19"/>
  <c r="B35" i="19"/>
  <c r="B36" i="19"/>
  <c r="B34" i="19"/>
  <c r="B33" i="19"/>
  <c r="B32" i="19"/>
  <c r="B31" i="19"/>
  <c r="B28" i="19"/>
  <c r="B29" i="19"/>
  <c r="B30" i="19"/>
  <c r="B45" i="19" s="1"/>
  <c r="B27" i="19"/>
  <c r="B42" i="19" s="1"/>
  <c r="B26" i="19"/>
  <c r="D24" i="18"/>
  <c r="D25" i="18"/>
  <c r="D26" i="18"/>
  <c r="D23" i="18"/>
  <c r="C26" i="18"/>
  <c r="C25" i="18"/>
  <c r="C24" i="18"/>
  <c r="C23" i="18"/>
  <c r="D18" i="18"/>
  <c r="D15" i="18"/>
  <c r="C20" i="18"/>
  <c r="C21" i="18"/>
  <c r="C19" i="18"/>
  <c r="C18" i="18"/>
  <c r="C17" i="18"/>
  <c r="C16" i="18"/>
  <c r="C15" i="18"/>
  <c r="D44" i="19" l="1"/>
  <c r="B43" i="19"/>
  <c r="B46" i="19"/>
  <c r="C46" i="19" s="1"/>
  <c r="C44" i="19"/>
  <c r="D68" i="6"/>
  <c r="E68" i="6"/>
  <c r="F68" i="6" s="1"/>
  <c r="G68" i="6" s="1"/>
  <c r="H68" i="6" s="1"/>
  <c r="I68" i="6" s="1"/>
  <c r="J68" i="6" s="1"/>
  <c r="K68" i="6" s="1"/>
  <c r="L68" i="6" s="1"/>
  <c r="M68" i="6" s="1"/>
  <c r="N68" i="6" s="1"/>
  <c r="O68" i="6" s="1"/>
  <c r="P68" i="6" s="1"/>
  <c r="Q68" i="6" s="1"/>
  <c r="R68" i="6" s="1"/>
  <c r="S68" i="6" s="1"/>
  <c r="T68" i="6" s="1"/>
  <c r="U68" i="6" s="1"/>
  <c r="V68" i="6" s="1"/>
  <c r="W68" i="6" s="1"/>
  <c r="D69" i="6"/>
  <c r="E69" i="6"/>
  <c r="F69" i="6" s="1"/>
  <c r="G69" i="6" s="1"/>
  <c r="H69" i="6" s="1"/>
  <c r="I69" i="6" s="1"/>
  <c r="J69" i="6" s="1"/>
  <c r="K69" i="6" s="1"/>
  <c r="L69" i="6" s="1"/>
  <c r="M69" i="6" s="1"/>
  <c r="N69" i="6" s="1"/>
  <c r="O69" i="6" s="1"/>
  <c r="P69" i="6" s="1"/>
  <c r="Q69" i="6" s="1"/>
  <c r="R69" i="6" s="1"/>
  <c r="S69" i="6" s="1"/>
  <c r="T69" i="6" s="1"/>
  <c r="U69" i="6" s="1"/>
  <c r="V69" i="6" s="1"/>
  <c r="W69" i="6" s="1"/>
  <c r="D70" i="6"/>
  <c r="E70" i="6"/>
  <c r="F70" i="6" s="1"/>
  <c r="G70" i="6" s="1"/>
  <c r="H70" i="6" s="1"/>
  <c r="I70" i="6" s="1"/>
  <c r="J70" i="6" s="1"/>
  <c r="K70" i="6" s="1"/>
  <c r="L70" i="6" s="1"/>
  <c r="M70" i="6" s="1"/>
  <c r="N70" i="6" s="1"/>
  <c r="O70" i="6" s="1"/>
  <c r="P70" i="6" s="1"/>
  <c r="Q70" i="6" s="1"/>
  <c r="R70" i="6" s="1"/>
  <c r="S70" i="6" s="1"/>
  <c r="T70" i="6" s="1"/>
  <c r="U70" i="6" s="1"/>
  <c r="V70" i="6" s="1"/>
  <c r="W70" i="6" s="1"/>
  <c r="D71" i="6"/>
  <c r="E71" i="6"/>
  <c r="F71" i="6" s="1"/>
  <c r="G71" i="6" s="1"/>
  <c r="H71" i="6" s="1"/>
  <c r="I71" i="6" s="1"/>
  <c r="J71" i="6" s="1"/>
  <c r="K71" i="6" s="1"/>
  <c r="L71" i="6" s="1"/>
  <c r="M71" i="6" s="1"/>
  <c r="N71" i="6" s="1"/>
  <c r="O71" i="6" s="1"/>
  <c r="P71" i="6" s="1"/>
  <c r="Q71" i="6" s="1"/>
  <c r="R71" i="6" s="1"/>
  <c r="S71" i="6" s="1"/>
  <c r="T71" i="6" s="1"/>
  <c r="U71" i="6" s="1"/>
  <c r="V71" i="6" s="1"/>
  <c r="W71" i="6" s="1"/>
  <c r="C68" i="6"/>
  <c r="C69" i="6"/>
  <c r="C70" i="6"/>
  <c r="C71" i="6"/>
  <c r="C67" i="6"/>
  <c r="D67" i="6" s="1"/>
  <c r="E67" i="6" s="1"/>
  <c r="F67" i="6" s="1"/>
  <c r="G67" i="6" s="1"/>
  <c r="H67" i="6" s="1"/>
  <c r="I67" i="6" s="1"/>
  <c r="J67" i="6" s="1"/>
  <c r="K67" i="6" s="1"/>
  <c r="L67" i="6" s="1"/>
  <c r="M67" i="6" s="1"/>
  <c r="N67" i="6" s="1"/>
  <c r="O67" i="6" s="1"/>
  <c r="P67" i="6" s="1"/>
  <c r="Q67" i="6" s="1"/>
  <c r="R67" i="6" s="1"/>
  <c r="S67" i="6" s="1"/>
  <c r="T67" i="6" s="1"/>
  <c r="U67" i="6" s="1"/>
  <c r="V67" i="6" s="1"/>
  <c r="W67" i="6" s="1"/>
  <c r="B68" i="6"/>
  <c r="B69" i="6"/>
  <c r="B70" i="6"/>
  <c r="B71" i="6"/>
  <c r="B67" i="6"/>
  <c r="C61" i="6"/>
  <c r="D61" i="6"/>
  <c r="E61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C62" i="6"/>
  <c r="D62" i="6"/>
  <c r="E62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C63" i="6"/>
  <c r="D63" i="6"/>
  <c r="E63" i="6"/>
  <c r="F63" i="6"/>
  <c r="G63" i="6"/>
  <c r="H63" i="6"/>
  <c r="I63" i="6"/>
  <c r="J63" i="6"/>
  <c r="K63" i="6"/>
  <c r="L63" i="6"/>
  <c r="M63" i="6"/>
  <c r="N63" i="6"/>
  <c r="O63" i="6"/>
  <c r="P63" i="6"/>
  <c r="Q63" i="6"/>
  <c r="R63" i="6"/>
  <c r="S63" i="6"/>
  <c r="T63" i="6"/>
  <c r="U63" i="6"/>
  <c r="V63" i="6"/>
  <c r="W63" i="6"/>
  <c r="X63" i="6"/>
  <c r="C64" i="6"/>
  <c r="D64" i="6"/>
  <c r="E64" i="6"/>
  <c r="F64" i="6"/>
  <c r="G64" i="6"/>
  <c r="H64" i="6"/>
  <c r="I64" i="6"/>
  <c r="J64" i="6"/>
  <c r="K64" i="6"/>
  <c r="L64" i="6"/>
  <c r="M64" i="6"/>
  <c r="N64" i="6"/>
  <c r="O64" i="6"/>
  <c r="P64" i="6"/>
  <c r="Q64" i="6"/>
  <c r="R64" i="6"/>
  <c r="S64" i="6"/>
  <c r="T64" i="6"/>
  <c r="U64" i="6"/>
  <c r="V64" i="6"/>
  <c r="W64" i="6"/>
  <c r="X64" i="6"/>
  <c r="C65" i="6"/>
  <c r="D65" i="6"/>
  <c r="E65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B65" i="6"/>
  <c r="B64" i="6"/>
  <c r="B63" i="6"/>
  <c r="B62" i="6"/>
  <c r="B61" i="6"/>
  <c r="X57" i="6"/>
  <c r="X58" i="6"/>
  <c r="X59" i="6"/>
  <c r="X60" i="6"/>
  <c r="X56" i="6"/>
  <c r="L42" i="43"/>
  <c r="L47" i="43"/>
  <c r="L37" i="43"/>
  <c r="L24" i="43"/>
  <c r="L16" i="43"/>
  <c r="L5" i="43"/>
  <c r="C54" i="43"/>
  <c r="C45" i="19" l="1"/>
  <c r="C43" i="19"/>
  <c r="C42" i="19"/>
  <c r="C48" i="43"/>
  <c r="AL66" i="14" l="1"/>
  <c r="AL67" i="14"/>
  <c r="AL68" i="14"/>
  <c r="AL69" i="14"/>
  <c r="AL70" i="14"/>
  <c r="AK67" i="14"/>
  <c r="AK68" i="14"/>
  <c r="AK69" i="14"/>
  <c r="AK70" i="14"/>
  <c r="AK66" i="14"/>
  <c r="C71" i="10"/>
  <c r="D71" i="10"/>
  <c r="E71" i="10"/>
  <c r="B71" i="10"/>
  <c r="C60" i="6"/>
  <c r="D60" i="6"/>
  <c r="E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B60" i="6"/>
  <c r="K28" i="43"/>
  <c r="K46" i="43"/>
  <c r="C24" i="19" l="1"/>
  <c r="C23" i="19"/>
  <c r="C22" i="19"/>
  <c r="C21" i="19"/>
  <c r="D24" i="19" s="1"/>
  <c r="D22" i="2"/>
  <c r="D16" i="2"/>
  <c r="D15" i="2"/>
  <c r="D10" i="2"/>
  <c r="D8" i="2"/>
  <c r="D48" i="2"/>
  <c r="D37" i="3"/>
  <c r="E47" i="43" s="1"/>
  <c r="D32" i="3"/>
  <c r="D34" i="3"/>
  <c r="D8" i="3"/>
  <c r="D15" i="3"/>
  <c r="D14" i="3"/>
  <c r="D13" i="3"/>
  <c r="D12" i="3"/>
  <c r="D9" i="3"/>
  <c r="D36" i="3"/>
  <c r="D35" i="3"/>
  <c r="D16" i="3"/>
  <c r="D19" i="3"/>
  <c r="D18" i="3"/>
  <c r="D17" i="3"/>
  <c r="E16" i="3"/>
  <c r="E19" i="3"/>
  <c r="E18" i="3"/>
  <c r="G18" i="3" s="1"/>
  <c r="E17" i="3"/>
  <c r="G17" i="3" s="1"/>
  <c r="E37" i="3"/>
  <c r="E32" i="3"/>
  <c r="E34" i="3"/>
  <c r="G34" i="3" s="1"/>
  <c r="E8" i="3"/>
  <c r="E36" i="3"/>
  <c r="G36" i="3" s="1"/>
  <c r="E35" i="3"/>
  <c r="G35" i="3" s="1"/>
  <c r="E15" i="3"/>
  <c r="G15" i="3" s="1"/>
  <c r="E14" i="3"/>
  <c r="G14" i="3" s="1"/>
  <c r="E13" i="3"/>
  <c r="G13" i="3" s="1"/>
  <c r="E12" i="3"/>
  <c r="G12" i="3" s="1"/>
  <c r="E9" i="3"/>
  <c r="G9" i="3" s="1"/>
  <c r="E48" i="2"/>
  <c r="E8" i="2"/>
  <c r="E16" i="2"/>
  <c r="G16" i="2" s="1"/>
  <c r="E15" i="2"/>
  <c r="E12" i="2"/>
  <c r="G12" i="2" s="1"/>
  <c r="E11" i="2"/>
  <c r="E45" i="2"/>
  <c r="E44" i="2"/>
  <c r="E19" i="2"/>
  <c r="E22" i="2"/>
  <c r="F27" i="43"/>
  <c r="G10" i="3"/>
  <c r="G11" i="3"/>
  <c r="G19" i="3"/>
  <c r="G20" i="3"/>
  <c r="G21" i="3"/>
  <c r="G22" i="3"/>
  <c r="G23" i="3"/>
  <c r="G25" i="3"/>
  <c r="G26" i="3"/>
  <c r="G27" i="3"/>
  <c r="G28" i="3"/>
  <c r="G29" i="3"/>
  <c r="G30" i="3"/>
  <c r="G31" i="3"/>
  <c r="G32" i="3"/>
  <c r="G33" i="3"/>
  <c r="G37" i="3"/>
  <c r="H14" i="2"/>
  <c r="H15" i="2"/>
  <c r="H16" i="2"/>
  <c r="G13" i="2"/>
  <c r="G14" i="2"/>
  <c r="G15" i="2"/>
  <c r="I26" i="5"/>
  <c r="I27" i="5"/>
  <c r="I28" i="5"/>
  <c r="I29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30" i="5"/>
  <c r="I31" i="5"/>
  <c r="F47" i="43" l="1"/>
  <c r="F13" i="43"/>
  <c r="F20" i="5"/>
  <c r="G20" i="5"/>
  <c r="H20" i="5"/>
  <c r="F21" i="5"/>
  <c r="G21" i="5"/>
  <c r="H21" i="5"/>
  <c r="D17" i="19" l="1"/>
  <c r="D18" i="19" s="1"/>
  <c r="E8" i="19" l="1"/>
  <c r="E16" i="19"/>
  <c r="E13" i="19"/>
  <c r="E7" i="19"/>
  <c r="E9" i="19"/>
  <c r="E17" i="19"/>
  <c r="E14" i="19"/>
  <c r="E10" i="19"/>
  <c r="E11" i="19"/>
  <c r="E12" i="19"/>
  <c r="E6" i="19"/>
  <c r="E15" i="19"/>
  <c r="C37" i="19"/>
  <c r="C26" i="19"/>
  <c r="C31" i="19"/>
  <c r="C33" i="19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B20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B12" i="7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B24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B16" i="8"/>
  <c r="C12" i="27"/>
  <c r="D12" i="27"/>
  <c r="E12" i="27"/>
  <c r="F12" i="27"/>
  <c r="G12" i="27"/>
  <c r="H12" i="27"/>
  <c r="I12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B12" i="27"/>
  <c r="C10" i="28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R10" i="28"/>
  <c r="S10" i="28"/>
  <c r="T10" i="28"/>
  <c r="U10" i="28"/>
  <c r="V10" i="28"/>
  <c r="W10" i="28"/>
  <c r="X10" i="28"/>
  <c r="Y10" i="28"/>
  <c r="B10" i="28"/>
  <c r="C16" i="25"/>
  <c r="D16" i="25"/>
  <c r="E16" i="25"/>
  <c r="F16" i="25"/>
  <c r="G16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V16" i="25"/>
  <c r="W16" i="25"/>
  <c r="X16" i="25"/>
  <c r="Y16" i="25"/>
  <c r="B16" i="25"/>
  <c r="C12" i="25"/>
  <c r="D12" i="25"/>
  <c r="E12" i="25"/>
  <c r="F12" i="25"/>
  <c r="G12" i="25"/>
  <c r="H12" i="25"/>
  <c r="I12" i="25"/>
  <c r="J12" i="25"/>
  <c r="K12" i="25"/>
  <c r="L12" i="25"/>
  <c r="M12" i="25"/>
  <c r="N12" i="25"/>
  <c r="O12" i="25"/>
  <c r="P12" i="25"/>
  <c r="Q12" i="25"/>
  <c r="R12" i="25"/>
  <c r="S12" i="25"/>
  <c r="T12" i="25"/>
  <c r="U12" i="25"/>
  <c r="V12" i="25"/>
  <c r="W12" i="25"/>
  <c r="X12" i="25"/>
  <c r="Y12" i="25"/>
  <c r="B12" i="25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B15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B21" i="6"/>
  <c r="C28" i="4"/>
  <c r="C50" i="3"/>
  <c r="C54" i="3"/>
  <c r="C16" i="3"/>
  <c r="G16" i="3" s="1"/>
  <c r="C24" i="3"/>
  <c r="G24" i="3" s="1"/>
  <c r="C27" i="2"/>
  <c r="I27" i="2" s="1"/>
  <c r="C19" i="2"/>
  <c r="F25" i="2"/>
  <c r="E53" i="2"/>
  <c r="B56" i="2"/>
  <c r="F56" i="2" s="1"/>
  <c r="B55" i="2"/>
  <c r="F55" i="2" s="1"/>
  <c r="B54" i="2"/>
  <c r="F54" i="2" s="1"/>
  <c r="B53" i="2"/>
  <c r="F53" i="2" s="1"/>
  <c r="D47" i="43"/>
  <c r="C47" i="43"/>
  <c r="D46" i="43"/>
  <c r="E46" i="43"/>
  <c r="F46" i="43"/>
  <c r="C46" i="43"/>
  <c r="D45" i="43"/>
  <c r="E45" i="43"/>
  <c r="F45" i="43"/>
  <c r="C45" i="43" l="1"/>
  <c r="G45" i="43" s="1"/>
  <c r="D44" i="43"/>
  <c r="E44" i="43"/>
  <c r="F44" i="43"/>
  <c r="C44" i="43"/>
  <c r="C42" i="43"/>
  <c r="D42" i="43"/>
  <c r="E42" i="43"/>
  <c r="F42" i="43"/>
  <c r="C43" i="43"/>
  <c r="D43" i="43"/>
  <c r="J43" i="43" s="1"/>
  <c r="E43" i="43"/>
  <c r="F43" i="43"/>
  <c r="C38" i="43"/>
  <c r="D38" i="43"/>
  <c r="E38" i="43"/>
  <c r="F38" i="43"/>
  <c r="C39" i="43"/>
  <c r="D39" i="43"/>
  <c r="E39" i="43"/>
  <c r="F39" i="43"/>
  <c r="C40" i="43"/>
  <c r="D40" i="43"/>
  <c r="E40" i="43"/>
  <c r="F40" i="43"/>
  <c r="C41" i="43"/>
  <c r="D41" i="43"/>
  <c r="E41" i="43"/>
  <c r="F41" i="43"/>
  <c r="D37" i="43"/>
  <c r="E37" i="43"/>
  <c r="F37" i="43"/>
  <c r="C37" i="43"/>
  <c r="C33" i="43"/>
  <c r="D33" i="43"/>
  <c r="E33" i="43"/>
  <c r="F33" i="43"/>
  <c r="C34" i="43"/>
  <c r="D34" i="43"/>
  <c r="E34" i="43"/>
  <c r="F34" i="43"/>
  <c r="C35" i="43"/>
  <c r="D35" i="43"/>
  <c r="E35" i="43"/>
  <c r="F35" i="43"/>
  <c r="C36" i="43"/>
  <c r="D36" i="43"/>
  <c r="E36" i="43"/>
  <c r="F36" i="43"/>
  <c r="D32" i="43"/>
  <c r="E32" i="43"/>
  <c r="F32" i="43"/>
  <c r="C32" i="43"/>
  <c r="C30" i="43"/>
  <c r="D30" i="43"/>
  <c r="E30" i="43"/>
  <c r="F30" i="43"/>
  <c r="C31" i="43"/>
  <c r="D31" i="43"/>
  <c r="E31" i="43"/>
  <c r="G31" i="43" s="1"/>
  <c r="F31" i="43"/>
  <c r="D29" i="43"/>
  <c r="E29" i="43"/>
  <c r="F29" i="43"/>
  <c r="C29" i="43"/>
  <c r="D28" i="43"/>
  <c r="E28" i="43"/>
  <c r="F28" i="43"/>
  <c r="C28" i="43"/>
  <c r="D27" i="43"/>
  <c r="E27" i="43"/>
  <c r="C27" i="43"/>
  <c r="D26" i="43"/>
  <c r="E26" i="43"/>
  <c r="F26" i="43"/>
  <c r="C26" i="43"/>
  <c r="D25" i="43"/>
  <c r="E25" i="43"/>
  <c r="F25" i="43"/>
  <c r="C25" i="43"/>
  <c r="D24" i="43"/>
  <c r="E24" i="43"/>
  <c r="F24" i="43"/>
  <c r="C24" i="43"/>
  <c r="C23" i="43"/>
  <c r="D23" i="43"/>
  <c r="E23" i="43"/>
  <c r="F23" i="43"/>
  <c r="D22" i="43"/>
  <c r="E22" i="43"/>
  <c r="F22" i="43"/>
  <c r="C22" i="43"/>
  <c r="C21" i="43"/>
  <c r="D21" i="43"/>
  <c r="E21" i="43"/>
  <c r="F21" i="43"/>
  <c r="D20" i="43"/>
  <c r="E20" i="43"/>
  <c r="F20" i="43"/>
  <c r="C20" i="43"/>
  <c r="C17" i="43"/>
  <c r="D17" i="43"/>
  <c r="E17" i="43"/>
  <c r="F17" i="43"/>
  <c r="C18" i="43"/>
  <c r="D18" i="43"/>
  <c r="E18" i="43"/>
  <c r="F18" i="43"/>
  <c r="C19" i="43"/>
  <c r="D19" i="43"/>
  <c r="E19" i="43"/>
  <c r="F19" i="43"/>
  <c r="D16" i="43"/>
  <c r="E16" i="43"/>
  <c r="F16" i="43"/>
  <c r="C16" i="43"/>
  <c r="C15" i="43"/>
  <c r="D15" i="43"/>
  <c r="E15" i="43"/>
  <c r="F15" i="43"/>
  <c r="D14" i="43"/>
  <c r="E14" i="43"/>
  <c r="F14" i="43"/>
  <c r="C14" i="43"/>
  <c r="C13" i="43"/>
  <c r="D13" i="43"/>
  <c r="E13" i="43"/>
  <c r="D12" i="43"/>
  <c r="E12" i="43"/>
  <c r="F12" i="43"/>
  <c r="C12" i="43"/>
  <c r="G30" i="43"/>
  <c r="I42" i="43"/>
  <c r="H45" i="43"/>
  <c r="K45" i="43" s="1"/>
  <c r="J45" i="43"/>
  <c r="G47" i="43"/>
  <c r="H47" i="43"/>
  <c r="K47" i="43" s="1"/>
  <c r="I47" i="43"/>
  <c r="J47" i="43"/>
  <c r="D11" i="43"/>
  <c r="E11" i="43"/>
  <c r="F11" i="43"/>
  <c r="C11" i="43"/>
  <c r="C6" i="43"/>
  <c r="D6" i="43"/>
  <c r="E6" i="43"/>
  <c r="F6" i="43"/>
  <c r="C7" i="43"/>
  <c r="D7" i="43"/>
  <c r="E7" i="43"/>
  <c r="F7" i="43"/>
  <c r="C8" i="43"/>
  <c r="D8" i="43"/>
  <c r="E8" i="43"/>
  <c r="F8" i="43"/>
  <c r="C9" i="43"/>
  <c r="D9" i="43"/>
  <c r="E9" i="43"/>
  <c r="F9" i="43"/>
  <c r="C10" i="43"/>
  <c r="D10" i="43"/>
  <c r="E10" i="43"/>
  <c r="F10" i="43"/>
  <c r="D5" i="43"/>
  <c r="E5" i="43"/>
  <c r="F5" i="43"/>
  <c r="C5" i="43"/>
  <c r="G5" i="43" s="1"/>
  <c r="G8" i="5"/>
  <c r="J5" i="43" l="1"/>
  <c r="J32" i="43"/>
  <c r="I45" i="43"/>
  <c r="I31" i="43"/>
  <c r="J30" i="43"/>
  <c r="I36" i="43"/>
  <c r="I35" i="43"/>
  <c r="I34" i="43"/>
  <c r="I33" i="43"/>
  <c r="G14" i="43"/>
  <c r="G16" i="43"/>
  <c r="G22" i="43"/>
  <c r="G24" i="43"/>
  <c r="H31" i="43"/>
  <c r="K31" i="43" s="1"/>
  <c r="H30" i="43"/>
  <c r="K30" i="43" s="1"/>
  <c r="G32" i="43"/>
  <c r="H36" i="43"/>
  <c r="H35" i="43"/>
  <c r="H34" i="43"/>
  <c r="H33" i="43"/>
  <c r="J17" i="43"/>
  <c r="J21" i="43"/>
  <c r="G15" i="43"/>
  <c r="H20" i="43"/>
  <c r="I41" i="43"/>
  <c r="I40" i="43"/>
  <c r="I39" i="43"/>
  <c r="I43" i="43"/>
  <c r="J42" i="43"/>
  <c r="G37" i="43"/>
  <c r="H41" i="43"/>
  <c r="K41" i="43" s="1"/>
  <c r="H40" i="43"/>
  <c r="H39" i="43"/>
  <c r="H38" i="43"/>
  <c r="H43" i="43"/>
  <c r="K43" i="43" s="1"/>
  <c r="H42" i="43"/>
  <c r="J13" i="43"/>
  <c r="I38" i="43"/>
  <c r="G23" i="43"/>
  <c r="H10" i="43"/>
  <c r="H9" i="43"/>
  <c r="H8" i="43"/>
  <c r="K8" i="43" s="1"/>
  <c r="I5" i="43"/>
  <c r="I30" i="43"/>
  <c r="H25" i="43"/>
  <c r="G34" i="43"/>
  <c r="G33" i="43"/>
  <c r="H37" i="43"/>
  <c r="K37" i="43" s="1"/>
  <c r="G41" i="43"/>
  <c r="G40" i="43"/>
  <c r="G39" i="43"/>
  <c r="G38" i="43"/>
  <c r="G43" i="43"/>
  <c r="G42" i="43"/>
  <c r="J31" i="43"/>
  <c r="G36" i="43"/>
  <c r="G19" i="43"/>
  <c r="G35" i="43"/>
  <c r="J10" i="43"/>
  <c r="G9" i="43"/>
  <c r="G8" i="43"/>
  <c r="J7" i="43"/>
  <c r="J6" i="43"/>
  <c r="H11" i="43"/>
  <c r="G12" i="43"/>
  <c r="H19" i="43"/>
  <c r="K19" i="43" s="1"/>
  <c r="H18" i="43"/>
  <c r="H17" i="43"/>
  <c r="J41" i="43"/>
  <c r="J40" i="43"/>
  <c r="J39" i="43"/>
  <c r="J38" i="43"/>
  <c r="H7" i="43"/>
  <c r="H6" i="43"/>
  <c r="G11" i="43"/>
  <c r="H12" i="43"/>
  <c r="K12" i="43" s="1"/>
  <c r="G13" i="43"/>
  <c r="J14" i="43"/>
  <c r="H16" i="43"/>
  <c r="K16" i="43" s="1"/>
  <c r="G18" i="43"/>
  <c r="G17" i="43"/>
  <c r="J20" i="43"/>
  <c r="G21" i="43"/>
  <c r="H22" i="43"/>
  <c r="K22" i="43" s="1"/>
  <c r="H24" i="43"/>
  <c r="K24" i="43" s="1"/>
  <c r="I25" i="43"/>
  <c r="H26" i="43"/>
  <c r="H27" i="43"/>
  <c r="H29" i="43"/>
  <c r="H32" i="43"/>
  <c r="K32" i="43" s="1"/>
  <c r="J37" i="43"/>
  <c r="H44" i="43"/>
  <c r="K44" i="43" s="1"/>
  <c r="J44" i="43"/>
  <c r="I44" i="43"/>
  <c r="G44" i="43"/>
  <c r="I37" i="43"/>
  <c r="J36" i="43"/>
  <c r="J35" i="43"/>
  <c r="J34" i="43"/>
  <c r="J33" i="43"/>
  <c r="I32" i="43"/>
  <c r="I29" i="43"/>
  <c r="G29" i="43"/>
  <c r="J29" i="43"/>
  <c r="G10" i="43"/>
  <c r="I7" i="43"/>
  <c r="J9" i="43"/>
  <c r="J8" i="43"/>
  <c r="I6" i="43"/>
  <c r="I10" i="43"/>
  <c r="I9" i="43"/>
  <c r="I8" i="43"/>
  <c r="I24" i="43"/>
  <c r="J22" i="43"/>
  <c r="J19" i="43"/>
  <c r="I18" i="43"/>
  <c r="I14" i="43"/>
  <c r="J11" i="43"/>
  <c r="H13" i="43"/>
  <c r="K13" i="43" s="1"/>
  <c r="H15" i="43"/>
  <c r="K15" i="43" s="1"/>
  <c r="G20" i="43"/>
  <c r="H21" i="43"/>
  <c r="K21" i="43" s="1"/>
  <c r="H23" i="43"/>
  <c r="K23" i="43" s="1"/>
  <c r="J24" i="43"/>
  <c r="G25" i="43"/>
  <c r="H5" i="43"/>
  <c r="K5" i="43" s="1"/>
  <c r="G7" i="43"/>
  <c r="G6" i="43"/>
  <c r="I19" i="43"/>
  <c r="J16" i="43"/>
  <c r="I11" i="43"/>
  <c r="J18" i="43"/>
  <c r="I17" i="43"/>
  <c r="I15" i="43"/>
  <c r="I23" i="43"/>
  <c r="J27" i="43"/>
  <c r="I27" i="43"/>
  <c r="G27" i="43"/>
  <c r="J26" i="43"/>
  <c r="I26" i="43"/>
  <c r="G26" i="43"/>
  <c r="J25" i="43"/>
  <c r="J23" i="43"/>
  <c r="I22" i="43"/>
  <c r="I21" i="43"/>
  <c r="I20" i="43"/>
  <c r="I16" i="43"/>
  <c r="J15" i="43"/>
  <c r="H14" i="43"/>
  <c r="K14" i="43" s="1"/>
  <c r="I13" i="43"/>
  <c r="J12" i="43"/>
  <c r="I12" i="43"/>
  <c r="E54" i="2"/>
  <c r="E55" i="2"/>
  <c r="E56" i="2"/>
  <c r="I48" i="2"/>
  <c r="I8" i="2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X27" i="15"/>
  <c r="X28" i="15"/>
  <c r="X29" i="15"/>
  <c r="X30" i="15"/>
  <c r="Z30" i="15" s="1"/>
  <c r="X31" i="15"/>
  <c r="Z31" i="15" s="1"/>
  <c r="X32" i="15"/>
  <c r="Z32" i="15" s="1"/>
  <c r="X33" i="15"/>
  <c r="Z33" i="15" s="1"/>
  <c r="X34" i="15"/>
  <c r="Z34" i="15" s="1"/>
  <c r="X35" i="15"/>
  <c r="Z35" i="15" s="1"/>
  <c r="X36" i="15"/>
  <c r="Z36" i="15" s="1"/>
  <c r="X37" i="15"/>
  <c r="Z37" i="15" s="1"/>
  <c r="X38" i="15"/>
  <c r="X39" i="15"/>
  <c r="X40" i="15"/>
  <c r="X41" i="15"/>
  <c r="X42" i="15"/>
  <c r="X26" i="15"/>
  <c r="L26" i="15"/>
  <c r="M26" i="15"/>
  <c r="N26" i="15"/>
  <c r="O26" i="15"/>
  <c r="P26" i="15"/>
  <c r="Q26" i="15"/>
  <c r="R26" i="15"/>
  <c r="S26" i="15"/>
  <c r="T26" i="15"/>
  <c r="U26" i="15"/>
  <c r="V26" i="15"/>
  <c r="L27" i="15"/>
  <c r="M27" i="15"/>
  <c r="N27" i="15"/>
  <c r="O27" i="15"/>
  <c r="P27" i="15"/>
  <c r="Q27" i="15"/>
  <c r="R27" i="15"/>
  <c r="S27" i="15"/>
  <c r="T27" i="15"/>
  <c r="U27" i="15"/>
  <c r="V27" i="15"/>
  <c r="L28" i="15"/>
  <c r="M28" i="15"/>
  <c r="N28" i="15"/>
  <c r="O28" i="15"/>
  <c r="P28" i="15"/>
  <c r="Q28" i="15"/>
  <c r="R28" i="15"/>
  <c r="S28" i="15"/>
  <c r="T28" i="15"/>
  <c r="U28" i="15"/>
  <c r="V28" i="15"/>
  <c r="L29" i="15"/>
  <c r="M29" i="15"/>
  <c r="N29" i="15"/>
  <c r="O29" i="15"/>
  <c r="P29" i="15"/>
  <c r="Q29" i="15"/>
  <c r="R29" i="15"/>
  <c r="S29" i="15"/>
  <c r="T29" i="15"/>
  <c r="U29" i="15"/>
  <c r="V29" i="15"/>
  <c r="L30" i="15"/>
  <c r="M30" i="15"/>
  <c r="N30" i="15"/>
  <c r="O30" i="15"/>
  <c r="P30" i="15"/>
  <c r="Q30" i="15"/>
  <c r="R30" i="15"/>
  <c r="S30" i="15"/>
  <c r="T30" i="15"/>
  <c r="U30" i="15"/>
  <c r="V30" i="15"/>
  <c r="L31" i="15"/>
  <c r="M31" i="15"/>
  <c r="N31" i="15"/>
  <c r="O31" i="15"/>
  <c r="P31" i="15"/>
  <c r="Q31" i="15"/>
  <c r="R31" i="15"/>
  <c r="S31" i="15"/>
  <c r="T31" i="15"/>
  <c r="U31" i="15"/>
  <c r="V31" i="15"/>
  <c r="L32" i="15"/>
  <c r="M32" i="15"/>
  <c r="N32" i="15"/>
  <c r="O32" i="15"/>
  <c r="P32" i="15"/>
  <c r="Q32" i="15"/>
  <c r="R32" i="15"/>
  <c r="S32" i="15"/>
  <c r="T32" i="15"/>
  <c r="U32" i="15"/>
  <c r="V32" i="15"/>
  <c r="L33" i="15"/>
  <c r="M33" i="15"/>
  <c r="N33" i="15"/>
  <c r="O33" i="15"/>
  <c r="P33" i="15"/>
  <c r="Q33" i="15"/>
  <c r="R33" i="15"/>
  <c r="S33" i="15"/>
  <c r="T33" i="15"/>
  <c r="U33" i="15"/>
  <c r="V33" i="15"/>
  <c r="L34" i="15"/>
  <c r="M34" i="15"/>
  <c r="N34" i="15"/>
  <c r="O34" i="15"/>
  <c r="P34" i="15"/>
  <c r="Q34" i="15"/>
  <c r="R34" i="15"/>
  <c r="S34" i="15"/>
  <c r="T34" i="15"/>
  <c r="U34" i="15"/>
  <c r="V34" i="15"/>
  <c r="L35" i="15"/>
  <c r="M35" i="15"/>
  <c r="N35" i="15"/>
  <c r="O35" i="15"/>
  <c r="P35" i="15"/>
  <c r="Q35" i="15"/>
  <c r="R35" i="15"/>
  <c r="S35" i="15"/>
  <c r="T35" i="15"/>
  <c r="U35" i="15"/>
  <c r="V35" i="15"/>
  <c r="L36" i="15"/>
  <c r="M36" i="15"/>
  <c r="N36" i="15"/>
  <c r="O36" i="15"/>
  <c r="P36" i="15"/>
  <c r="Q36" i="15"/>
  <c r="R36" i="15"/>
  <c r="S36" i="15"/>
  <c r="T36" i="15"/>
  <c r="U36" i="15"/>
  <c r="V36" i="15"/>
  <c r="L37" i="15"/>
  <c r="M37" i="15"/>
  <c r="N37" i="15"/>
  <c r="O37" i="15"/>
  <c r="P37" i="15"/>
  <c r="Q37" i="15"/>
  <c r="R37" i="15"/>
  <c r="S37" i="15"/>
  <c r="T37" i="15"/>
  <c r="U37" i="15"/>
  <c r="V37" i="15"/>
  <c r="L38" i="15"/>
  <c r="M38" i="15"/>
  <c r="N38" i="15"/>
  <c r="O38" i="15"/>
  <c r="P38" i="15"/>
  <c r="Q38" i="15"/>
  <c r="R38" i="15"/>
  <c r="S38" i="15"/>
  <c r="T38" i="15"/>
  <c r="U38" i="15"/>
  <c r="V38" i="15"/>
  <c r="L39" i="15"/>
  <c r="M39" i="15"/>
  <c r="N39" i="15"/>
  <c r="O39" i="15"/>
  <c r="P39" i="15"/>
  <c r="Q39" i="15"/>
  <c r="R39" i="15"/>
  <c r="S39" i="15"/>
  <c r="T39" i="15"/>
  <c r="U39" i="15"/>
  <c r="V39" i="15"/>
  <c r="L40" i="15"/>
  <c r="M40" i="15"/>
  <c r="N40" i="15"/>
  <c r="O40" i="15"/>
  <c r="P40" i="15"/>
  <c r="Q40" i="15"/>
  <c r="R40" i="15"/>
  <c r="S40" i="15"/>
  <c r="T40" i="15"/>
  <c r="U40" i="15"/>
  <c r="V40" i="15"/>
  <c r="L41" i="15"/>
  <c r="M41" i="15"/>
  <c r="N41" i="15"/>
  <c r="O41" i="15"/>
  <c r="P41" i="15"/>
  <c r="Q41" i="15"/>
  <c r="R41" i="15"/>
  <c r="S41" i="15"/>
  <c r="T41" i="15"/>
  <c r="U41" i="15"/>
  <c r="V41" i="15"/>
  <c r="L42" i="15"/>
  <c r="M42" i="15"/>
  <c r="N42" i="15"/>
  <c r="O42" i="15"/>
  <c r="P42" i="15"/>
  <c r="Q42" i="15"/>
  <c r="R42" i="15"/>
  <c r="S42" i="15"/>
  <c r="T42" i="15"/>
  <c r="U42" i="15"/>
  <c r="V42" i="15"/>
  <c r="K27" i="15"/>
  <c r="K28" i="15"/>
  <c r="K29" i="15"/>
  <c r="K30" i="15"/>
  <c r="W30" i="15" s="1"/>
  <c r="K31" i="15"/>
  <c r="W31" i="15" s="1"/>
  <c r="K32" i="15"/>
  <c r="W32" i="15" s="1"/>
  <c r="K33" i="15"/>
  <c r="K34" i="15"/>
  <c r="W34" i="15" s="1"/>
  <c r="K35" i="15"/>
  <c r="W35" i="15" s="1"/>
  <c r="K36" i="15"/>
  <c r="W36" i="15" s="1"/>
  <c r="K37" i="15"/>
  <c r="K38" i="15"/>
  <c r="W38" i="15" s="1"/>
  <c r="K39" i="15"/>
  <c r="W39" i="15" s="1"/>
  <c r="K40" i="15"/>
  <c r="W40" i="15" s="1"/>
  <c r="K41" i="15"/>
  <c r="K42" i="15"/>
  <c r="K26" i="15"/>
  <c r="C26" i="15"/>
  <c r="D26" i="15"/>
  <c r="E26" i="15"/>
  <c r="F26" i="15"/>
  <c r="G26" i="15"/>
  <c r="H26" i="15"/>
  <c r="I26" i="15"/>
  <c r="C27" i="15"/>
  <c r="D27" i="15"/>
  <c r="E27" i="15"/>
  <c r="F27" i="15"/>
  <c r="G27" i="15"/>
  <c r="H27" i="15"/>
  <c r="I27" i="15"/>
  <c r="C28" i="15"/>
  <c r="D28" i="15"/>
  <c r="E28" i="15"/>
  <c r="F28" i="15"/>
  <c r="G28" i="15"/>
  <c r="H28" i="15"/>
  <c r="I28" i="15"/>
  <c r="C29" i="15"/>
  <c r="D29" i="15"/>
  <c r="E29" i="15"/>
  <c r="F29" i="15"/>
  <c r="G29" i="15"/>
  <c r="H29" i="15"/>
  <c r="I29" i="15"/>
  <c r="C30" i="15"/>
  <c r="D30" i="15"/>
  <c r="E30" i="15"/>
  <c r="F30" i="15"/>
  <c r="G30" i="15"/>
  <c r="H30" i="15"/>
  <c r="I30" i="15"/>
  <c r="C31" i="15"/>
  <c r="D31" i="15"/>
  <c r="E31" i="15"/>
  <c r="F31" i="15"/>
  <c r="G31" i="15"/>
  <c r="H31" i="15"/>
  <c r="I31" i="15"/>
  <c r="C32" i="15"/>
  <c r="D32" i="15"/>
  <c r="E32" i="15"/>
  <c r="F32" i="15"/>
  <c r="G32" i="15"/>
  <c r="H32" i="15"/>
  <c r="I32" i="15"/>
  <c r="C33" i="15"/>
  <c r="D33" i="15"/>
  <c r="E33" i="15"/>
  <c r="F33" i="15"/>
  <c r="G33" i="15"/>
  <c r="H33" i="15"/>
  <c r="I33" i="15"/>
  <c r="C34" i="15"/>
  <c r="D34" i="15"/>
  <c r="E34" i="15"/>
  <c r="F34" i="15"/>
  <c r="J34" i="15" s="1"/>
  <c r="G34" i="15"/>
  <c r="H34" i="15"/>
  <c r="I34" i="15"/>
  <c r="C35" i="15"/>
  <c r="D35" i="15"/>
  <c r="E35" i="15"/>
  <c r="F35" i="15"/>
  <c r="G35" i="15"/>
  <c r="H35" i="15"/>
  <c r="I35" i="15"/>
  <c r="C36" i="15"/>
  <c r="D36" i="15"/>
  <c r="E36" i="15"/>
  <c r="F36" i="15"/>
  <c r="G36" i="15"/>
  <c r="H36" i="15"/>
  <c r="I36" i="15"/>
  <c r="C37" i="15"/>
  <c r="D37" i="15"/>
  <c r="E37" i="15"/>
  <c r="F37" i="15"/>
  <c r="G37" i="15"/>
  <c r="H37" i="15"/>
  <c r="I37" i="15"/>
  <c r="C38" i="15"/>
  <c r="D38" i="15"/>
  <c r="E38" i="15"/>
  <c r="F38" i="15"/>
  <c r="J38" i="15" s="1"/>
  <c r="G38" i="15"/>
  <c r="H38" i="15"/>
  <c r="I38" i="15"/>
  <c r="C39" i="15"/>
  <c r="D39" i="15"/>
  <c r="E39" i="15"/>
  <c r="F39" i="15"/>
  <c r="G39" i="15"/>
  <c r="H39" i="15"/>
  <c r="I39" i="15"/>
  <c r="C40" i="15"/>
  <c r="D40" i="15"/>
  <c r="E40" i="15"/>
  <c r="F40" i="15"/>
  <c r="G40" i="15"/>
  <c r="H40" i="15"/>
  <c r="I40" i="15"/>
  <c r="C41" i="15"/>
  <c r="D41" i="15"/>
  <c r="E41" i="15"/>
  <c r="F41" i="15"/>
  <c r="G41" i="15"/>
  <c r="H41" i="15"/>
  <c r="I41" i="15"/>
  <c r="C42" i="15"/>
  <c r="D42" i="15"/>
  <c r="E42" i="15"/>
  <c r="F42" i="15"/>
  <c r="G42" i="15"/>
  <c r="H42" i="15"/>
  <c r="I42" i="15"/>
  <c r="B27" i="15"/>
  <c r="B28" i="15"/>
  <c r="B29" i="15"/>
  <c r="B30" i="15"/>
  <c r="B31" i="15"/>
  <c r="B32" i="15"/>
  <c r="B33" i="15"/>
  <c r="B34" i="15"/>
  <c r="AC34" i="15" s="1"/>
  <c r="B35" i="15"/>
  <c r="B36" i="15"/>
  <c r="B37" i="15"/>
  <c r="B38" i="15"/>
  <c r="B39" i="15"/>
  <c r="B40" i="15"/>
  <c r="B41" i="15"/>
  <c r="B42" i="15"/>
  <c r="B26" i="15"/>
  <c r="Y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X6" i="15"/>
  <c r="Z6" i="15" s="1"/>
  <c r="X7" i="15"/>
  <c r="Z7" i="15" s="1"/>
  <c r="X8" i="15"/>
  <c r="Z8" i="15" s="1"/>
  <c r="X9" i="15"/>
  <c r="Z9" i="15" s="1"/>
  <c r="X10" i="15"/>
  <c r="Z10" i="15" s="1"/>
  <c r="X11" i="15"/>
  <c r="Z11" i="15" s="1"/>
  <c r="X12" i="15"/>
  <c r="Z12" i="15" s="1"/>
  <c r="X13" i="15"/>
  <c r="Z13" i="15" s="1"/>
  <c r="X14" i="15"/>
  <c r="Z14" i="15" s="1"/>
  <c r="X15" i="15"/>
  <c r="Z15" i="15" s="1"/>
  <c r="X16" i="15"/>
  <c r="X17" i="15"/>
  <c r="X18" i="15"/>
  <c r="X19" i="15"/>
  <c r="X20" i="15"/>
  <c r="X21" i="15"/>
  <c r="X5" i="15"/>
  <c r="L5" i="15"/>
  <c r="M5" i="15"/>
  <c r="N5" i="15"/>
  <c r="O5" i="15"/>
  <c r="P5" i="15"/>
  <c r="Q5" i="15"/>
  <c r="R5" i="15"/>
  <c r="S5" i="15"/>
  <c r="T5" i="15"/>
  <c r="U5" i="15"/>
  <c r="V5" i="15"/>
  <c r="L6" i="15"/>
  <c r="M6" i="15"/>
  <c r="N6" i="15"/>
  <c r="O6" i="15"/>
  <c r="P6" i="15"/>
  <c r="Q6" i="15"/>
  <c r="R6" i="15"/>
  <c r="S6" i="15"/>
  <c r="T6" i="15"/>
  <c r="U6" i="15"/>
  <c r="V6" i="15"/>
  <c r="L7" i="15"/>
  <c r="M7" i="15"/>
  <c r="N7" i="15"/>
  <c r="O7" i="15"/>
  <c r="P7" i="15"/>
  <c r="Q7" i="15"/>
  <c r="R7" i="15"/>
  <c r="S7" i="15"/>
  <c r="T7" i="15"/>
  <c r="U7" i="15"/>
  <c r="V7" i="15"/>
  <c r="L8" i="15"/>
  <c r="M8" i="15"/>
  <c r="N8" i="15"/>
  <c r="O8" i="15"/>
  <c r="P8" i="15"/>
  <c r="Q8" i="15"/>
  <c r="R8" i="15"/>
  <c r="S8" i="15"/>
  <c r="T8" i="15"/>
  <c r="U8" i="15"/>
  <c r="V8" i="15"/>
  <c r="L9" i="15"/>
  <c r="M9" i="15"/>
  <c r="N9" i="15"/>
  <c r="O9" i="15"/>
  <c r="P9" i="15"/>
  <c r="Q9" i="15"/>
  <c r="R9" i="15"/>
  <c r="S9" i="15"/>
  <c r="T9" i="15"/>
  <c r="U9" i="15"/>
  <c r="V9" i="15"/>
  <c r="L10" i="15"/>
  <c r="M10" i="15"/>
  <c r="N10" i="15"/>
  <c r="O10" i="15"/>
  <c r="P10" i="15"/>
  <c r="Q10" i="15"/>
  <c r="R10" i="15"/>
  <c r="S10" i="15"/>
  <c r="T10" i="15"/>
  <c r="U10" i="15"/>
  <c r="V10" i="15"/>
  <c r="L11" i="15"/>
  <c r="M11" i="15"/>
  <c r="N11" i="15"/>
  <c r="O11" i="15"/>
  <c r="P11" i="15"/>
  <c r="Q11" i="15"/>
  <c r="R11" i="15"/>
  <c r="S11" i="15"/>
  <c r="T11" i="15"/>
  <c r="U11" i="15"/>
  <c r="V11" i="15"/>
  <c r="L12" i="15"/>
  <c r="M12" i="15"/>
  <c r="N12" i="15"/>
  <c r="O12" i="15"/>
  <c r="P12" i="15"/>
  <c r="Q12" i="15"/>
  <c r="R12" i="15"/>
  <c r="S12" i="15"/>
  <c r="T12" i="15"/>
  <c r="U12" i="15"/>
  <c r="V12" i="15"/>
  <c r="L13" i="15"/>
  <c r="M13" i="15"/>
  <c r="N13" i="15"/>
  <c r="O13" i="15"/>
  <c r="P13" i="15"/>
  <c r="Q13" i="15"/>
  <c r="R13" i="15"/>
  <c r="S13" i="15"/>
  <c r="T13" i="15"/>
  <c r="U13" i="15"/>
  <c r="V13" i="15"/>
  <c r="L14" i="15"/>
  <c r="M14" i="15"/>
  <c r="N14" i="15"/>
  <c r="O14" i="15"/>
  <c r="P14" i="15"/>
  <c r="Q14" i="15"/>
  <c r="R14" i="15"/>
  <c r="S14" i="15"/>
  <c r="T14" i="15"/>
  <c r="U14" i="15"/>
  <c r="V14" i="15"/>
  <c r="L15" i="15"/>
  <c r="M15" i="15"/>
  <c r="N15" i="15"/>
  <c r="O15" i="15"/>
  <c r="P15" i="15"/>
  <c r="Q15" i="15"/>
  <c r="R15" i="15"/>
  <c r="S15" i="15"/>
  <c r="T15" i="15"/>
  <c r="U15" i="15"/>
  <c r="V15" i="15"/>
  <c r="L16" i="15"/>
  <c r="M16" i="15"/>
  <c r="N16" i="15"/>
  <c r="O16" i="15"/>
  <c r="P16" i="15"/>
  <c r="Q16" i="15"/>
  <c r="R16" i="15"/>
  <c r="S16" i="15"/>
  <c r="T16" i="15"/>
  <c r="U16" i="15"/>
  <c r="V16" i="15"/>
  <c r="L17" i="15"/>
  <c r="M17" i="15"/>
  <c r="N17" i="15"/>
  <c r="O17" i="15"/>
  <c r="P17" i="15"/>
  <c r="Q17" i="15"/>
  <c r="R17" i="15"/>
  <c r="S17" i="15"/>
  <c r="T17" i="15"/>
  <c r="U17" i="15"/>
  <c r="V17" i="15"/>
  <c r="L18" i="15"/>
  <c r="M18" i="15"/>
  <c r="N18" i="15"/>
  <c r="O18" i="15"/>
  <c r="P18" i="15"/>
  <c r="Q18" i="15"/>
  <c r="R18" i="15"/>
  <c r="S18" i="15"/>
  <c r="T18" i="15"/>
  <c r="U18" i="15"/>
  <c r="V18" i="15"/>
  <c r="L19" i="15"/>
  <c r="M19" i="15"/>
  <c r="N19" i="15"/>
  <c r="O19" i="15"/>
  <c r="P19" i="15"/>
  <c r="Q19" i="15"/>
  <c r="R19" i="15"/>
  <c r="S19" i="15"/>
  <c r="T19" i="15"/>
  <c r="U19" i="15"/>
  <c r="V19" i="15"/>
  <c r="L20" i="15"/>
  <c r="M20" i="15"/>
  <c r="N20" i="15"/>
  <c r="O20" i="15"/>
  <c r="P20" i="15"/>
  <c r="Q20" i="15"/>
  <c r="R20" i="15"/>
  <c r="S20" i="15"/>
  <c r="T20" i="15"/>
  <c r="U20" i="15"/>
  <c r="V20" i="15"/>
  <c r="L21" i="15"/>
  <c r="M21" i="15"/>
  <c r="N21" i="15"/>
  <c r="O21" i="15"/>
  <c r="P21" i="15"/>
  <c r="Q21" i="15"/>
  <c r="R21" i="15"/>
  <c r="S21" i="15"/>
  <c r="T21" i="15"/>
  <c r="U21" i="15"/>
  <c r="V21" i="15"/>
  <c r="K6" i="15"/>
  <c r="K7" i="15"/>
  <c r="W7" i="15" s="1"/>
  <c r="K8" i="15"/>
  <c r="W8" i="15" s="1"/>
  <c r="K9" i="15"/>
  <c r="K10" i="15"/>
  <c r="K11" i="15"/>
  <c r="W11" i="15" s="1"/>
  <c r="K12" i="15"/>
  <c r="W12" i="15" s="1"/>
  <c r="K13" i="15"/>
  <c r="K14" i="15"/>
  <c r="K15" i="15"/>
  <c r="W15" i="15" s="1"/>
  <c r="K16" i="15"/>
  <c r="W16" i="15" s="1"/>
  <c r="K17" i="15"/>
  <c r="K18" i="15"/>
  <c r="K19" i="15"/>
  <c r="K20" i="15"/>
  <c r="K21" i="15"/>
  <c r="K5" i="15"/>
  <c r="C5" i="15"/>
  <c r="D5" i="15"/>
  <c r="E5" i="15"/>
  <c r="F5" i="15"/>
  <c r="G5" i="15"/>
  <c r="H5" i="15"/>
  <c r="I5" i="15"/>
  <c r="C6" i="15"/>
  <c r="D6" i="15"/>
  <c r="E6" i="15"/>
  <c r="F6" i="15"/>
  <c r="G6" i="15"/>
  <c r="H6" i="15"/>
  <c r="I6" i="15"/>
  <c r="C7" i="15"/>
  <c r="D7" i="15"/>
  <c r="E7" i="15"/>
  <c r="F7" i="15"/>
  <c r="G7" i="15"/>
  <c r="H7" i="15"/>
  <c r="I7" i="15"/>
  <c r="C8" i="15"/>
  <c r="D8" i="15"/>
  <c r="E8" i="15"/>
  <c r="F8" i="15"/>
  <c r="G8" i="15"/>
  <c r="H8" i="15"/>
  <c r="I8" i="15"/>
  <c r="C9" i="15"/>
  <c r="D9" i="15"/>
  <c r="E9" i="15"/>
  <c r="F9" i="15"/>
  <c r="G9" i="15"/>
  <c r="H9" i="15"/>
  <c r="I9" i="15"/>
  <c r="C10" i="15"/>
  <c r="D10" i="15"/>
  <c r="E10" i="15"/>
  <c r="F10" i="15"/>
  <c r="G10" i="15"/>
  <c r="H10" i="15"/>
  <c r="I10" i="15"/>
  <c r="C11" i="15"/>
  <c r="D11" i="15"/>
  <c r="E11" i="15"/>
  <c r="F11" i="15"/>
  <c r="G11" i="15"/>
  <c r="H11" i="15"/>
  <c r="I11" i="15"/>
  <c r="C12" i="15"/>
  <c r="D12" i="15"/>
  <c r="E12" i="15"/>
  <c r="F12" i="15"/>
  <c r="G12" i="15"/>
  <c r="H12" i="15"/>
  <c r="I12" i="15"/>
  <c r="C13" i="15"/>
  <c r="D13" i="15"/>
  <c r="E13" i="15"/>
  <c r="F13" i="15"/>
  <c r="G13" i="15"/>
  <c r="H13" i="15"/>
  <c r="I13" i="15"/>
  <c r="C14" i="15"/>
  <c r="D14" i="15"/>
  <c r="E14" i="15"/>
  <c r="F14" i="15"/>
  <c r="G14" i="15"/>
  <c r="H14" i="15"/>
  <c r="I14" i="15"/>
  <c r="C15" i="15"/>
  <c r="D15" i="15"/>
  <c r="E15" i="15"/>
  <c r="F15" i="15"/>
  <c r="G15" i="15"/>
  <c r="H15" i="15"/>
  <c r="I15" i="15"/>
  <c r="C16" i="15"/>
  <c r="D16" i="15"/>
  <c r="E16" i="15"/>
  <c r="F16" i="15"/>
  <c r="G16" i="15"/>
  <c r="H16" i="15"/>
  <c r="I16" i="15"/>
  <c r="C17" i="15"/>
  <c r="D17" i="15"/>
  <c r="E17" i="15"/>
  <c r="F17" i="15"/>
  <c r="G17" i="15"/>
  <c r="H17" i="15"/>
  <c r="I17" i="15"/>
  <c r="C18" i="15"/>
  <c r="D18" i="15"/>
  <c r="E18" i="15"/>
  <c r="F18" i="15"/>
  <c r="G18" i="15"/>
  <c r="H18" i="15"/>
  <c r="I18" i="15"/>
  <c r="C19" i="15"/>
  <c r="D19" i="15"/>
  <c r="E19" i="15"/>
  <c r="F19" i="15"/>
  <c r="G19" i="15"/>
  <c r="H19" i="15"/>
  <c r="I19" i="15"/>
  <c r="C20" i="15"/>
  <c r="D20" i="15"/>
  <c r="E20" i="15"/>
  <c r="F20" i="15"/>
  <c r="G20" i="15"/>
  <c r="H20" i="15"/>
  <c r="I20" i="15"/>
  <c r="C21" i="15"/>
  <c r="D21" i="15"/>
  <c r="E21" i="15"/>
  <c r="F21" i="15"/>
  <c r="G21" i="15"/>
  <c r="H21" i="15"/>
  <c r="I21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5" i="15"/>
  <c r="K27" i="43" l="1"/>
  <c r="K17" i="43"/>
  <c r="K11" i="43"/>
  <c r="K10" i="43"/>
  <c r="K42" i="43"/>
  <c r="K40" i="43"/>
  <c r="K20" i="43"/>
  <c r="K33" i="43"/>
  <c r="J30" i="15"/>
  <c r="K26" i="43"/>
  <c r="K18" i="43"/>
  <c r="K34" i="43"/>
  <c r="AC30" i="15"/>
  <c r="K6" i="43"/>
  <c r="K38" i="43"/>
  <c r="K35" i="43"/>
  <c r="K29" i="43"/>
  <c r="K7" i="43"/>
  <c r="K25" i="43"/>
  <c r="K9" i="43"/>
  <c r="K39" i="43"/>
  <c r="K36" i="43"/>
  <c r="J10" i="15"/>
  <c r="W14" i="15"/>
  <c r="W13" i="15"/>
  <c r="W10" i="15"/>
  <c r="AG10" i="15" s="1"/>
  <c r="W9" i="15"/>
  <c r="W6" i="15"/>
  <c r="J35" i="15"/>
  <c r="AE35" i="15" s="1"/>
  <c r="J31" i="15"/>
  <c r="AE31" i="15" s="1"/>
  <c r="J27" i="15"/>
  <c r="J36" i="15"/>
  <c r="AE36" i="15" s="1"/>
  <c r="AE34" i="15"/>
  <c r="J32" i="15"/>
  <c r="AE32" i="15" s="1"/>
  <c r="AE30" i="15"/>
  <c r="J28" i="15"/>
  <c r="W37" i="15"/>
  <c r="W33" i="15"/>
  <c r="J12" i="15"/>
  <c r="AE12" i="15" s="1"/>
  <c r="J8" i="15"/>
  <c r="AE8" i="15" s="1"/>
  <c r="J37" i="15"/>
  <c r="AE37" i="15" s="1"/>
  <c r="J33" i="15"/>
  <c r="AE33" i="15" s="1"/>
  <c r="J29" i="15"/>
  <c r="AC12" i="15"/>
  <c r="J13" i="15"/>
  <c r="AE13" i="15" s="1"/>
  <c r="AD12" i="15"/>
  <c r="J11" i="15"/>
  <c r="AE11" i="15" s="1"/>
  <c r="J9" i="15"/>
  <c r="AE9" i="15" s="1"/>
  <c r="J7" i="15"/>
  <c r="AE7" i="15" s="1"/>
  <c r="AF12" i="15"/>
  <c r="AC33" i="15"/>
  <c r="AG12" i="15"/>
  <c r="AG8" i="15"/>
  <c r="AG13" i="15"/>
  <c r="AD33" i="15"/>
  <c r="AG37" i="15"/>
  <c r="AG33" i="15"/>
  <c r="AF7" i="15"/>
  <c r="AF13" i="15"/>
  <c r="AG11" i="15"/>
  <c r="AG7" i="15"/>
  <c r="AC36" i="15"/>
  <c r="AD34" i="15"/>
  <c r="AD30" i="15"/>
  <c r="AF36" i="15"/>
  <c r="AF32" i="15"/>
  <c r="AG36" i="15"/>
  <c r="AG32" i="15"/>
  <c r="AC7" i="15"/>
  <c r="AD13" i="15"/>
  <c r="AC10" i="15"/>
  <c r="AF35" i="15"/>
  <c r="AF31" i="15"/>
  <c r="AF37" i="15"/>
  <c r="AF33" i="15"/>
  <c r="AG35" i="15"/>
  <c r="AG31" i="15"/>
  <c r="AC13" i="15"/>
  <c r="AC9" i="15"/>
  <c r="AD11" i="15"/>
  <c r="AD7" i="15"/>
  <c r="AD36" i="15"/>
  <c r="AD32" i="15"/>
  <c r="AF34" i="15"/>
  <c r="AF30" i="15"/>
  <c r="AG34" i="15"/>
  <c r="AG30" i="15"/>
  <c r="Z27" i="17"/>
  <c r="Z28" i="17"/>
  <c r="Z29" i="17"/>
  <c r="Z30" i="17"/>
  <c r="Z31" i="17"/>
  <c r="Z32" i="17"/>
  <c r="Z33" i="17"/>
  <c r="Z34" i="17"/>
  <c r="Z35" i="17"/>
  <c r="Z36" i="17"/>
  <c r="Z37" i="17"/>
  <c r="Z38" i="17"/>
  <c r="Z39" i="17"/>
  <c r="Z40" i="17"/>
  <c r="Z41" i="17"/>
  <c r="W27" i="17"/>
  <c r="W28" i="17"/>
  <c r="W29" i="17"/>
  <c r="W30" i="17"/>
  <c r="W31" i="17"/>
  <c r="W32" i="17"/>
  <c r="W33" i="17"/>
  <c r="W34" i="17"/>
  <c r="W35" i="17"/>
  <c r="W36" i="17"/>
  <c r="W37" i="17"/>
  <c r="J27" i="17"/>
  <c r="J28" i="17"/>
  <c r="J29" i="17"/>
  <c r="AE29" i="17" s="1"/>
  <c r="J30" i="17"/>
  <c r="AE30" i="17" s="1"/>
  <c r="J31" i="17"/>
  <c r="J32" i="17"/>
  <c r="J33" i="17"/>
  <c r="AE33" i="17" s="1"/>
  <c r="J34" i="17"/>
  <c r="AE34" i="17" s="1"/>
  <c r="J35" i="17"/>
  <c r="J36" i="17"/>
  <c r="J37" i="17"/>
  <c r="AE37" i="17" s="1"/>
  <c r="J38" i="17"/>
  <c r="W6" i="17"/>
  <c r="W7" i="17"/>
  <c r="W8" i="17"/>
  <c r="W9" i="17"/>
  <c r="W10" i="17"/>
  <c r="W11" i="17"/>
  <c r="W12" i="17"/>
  <c r="W13" i="17"/>
  <c r="W14" i="17"/>
  <c r="W15" i="17"/>
  <c r="W16" i="17"/>
  <c r="W17" i="17"/>
  <c r="W18" i="17"/>
  <c r="W19" i="17"/>
  <c r="W20" i="17"/>
  <c r="Z6" i="17"/>
  <c r="Z7" i="17"/>
  <c r="Z8" i="17"/>
  <c r="Z9" i="17"/>
  <c r="Z10" i="17"/>
  <c r="Z11" i="17"/>
  <c r="Z12" i="17"/>
  <c r="Z13" i="17"/>
  <c r="Z14" i="17"/>
  <c r="Z15" i="17"/>
  <c r="Z16" i="17"/>
  <c r="Z17" i="17"/>
  <c r="Z18" i="17"/>
  <c r="Z19" i="17"/>
  <c r="J6" i="17"/>
  <c r="J7" i="17"/>
  <c r="AE7" i="17" s="1"/>
  <c r="J8" i="17"/>
  <c r="J9" i="17"/>
  <c r="J10" i="17"/>
  <c r="J11" i="17"/>
  <c r="AE11" i="17" s="1"/>
  <c r="J12" i="17"/>
  <c r="J13" i="17"/>
  <c r="J14" i="17"/>
  <c r="J15" i="17"/>
  <c r="AE15" i="17" s="1"/>
  <c r="J16" i="17"/>
  <c r="J17" i="17"/>
  <c r="J18" i="17"/>
  <c r="J19" i="17"/>
  <c r="AE19" i="17" s="1"/>
  <c r="J20" i="17"/>
  <c r="Z27" i="16"/>
  <c r="Z28" i="16"/>
  <c r="Z29" i="16"/>
  <c r="Z30" i="16"/>
  <c r="Z31" i="16"/>
  <c r="Z32" i="16"/>
  <c r="W27" i="16"/>
  <c r="W28" i="16"/>
  <c r="W29" i="16"/>
  <c r="W30" i="16"/>
  <c r="W31" i="16"/>
  <c r="AF31" i="16" s="1"/>
  <c r="J27" i="16"/>
  <c r="J28" i="16"/>
  <c r="J29" i="16"/>
  <c r="J30" i="16"/>
  <c r="J31" i="16"/>
  <c r="J32" i="16"/>
  <c r="J33" i="16"/>
  <c r="Z13" i="16"/>
  <c r="Z14" i="16"/>
  <c r="Z15" i="16"/>
  <c r="Z16" i="16"/>
  <c r="Z17" i="16"/>
  <c r="Z18" i="16"/>
  <c r="W15" i="16"/>
  <c r="W16" i="16"/>
  <c r="W17" i="16"/>
  <c r="W18" i="16"/>
  <c r="J15" i="16"/>
  <c r="AC15" i="16" s="1"/>
  <c r="J16" i="16"/>
  <c r="J17" i="16"/>
  <c r="AE17" i="16" s="1"/>
  <c r="J18" i="16"/>
  <c r="W27" i="36"/>
  <c r="W28" i="36"/>
  <c r="W29" i="36"/>
  <c r="W30" i="36"/>
  <c r="W31" i="36"/>
  <c r="W32" i="36"/>
  <c r="W33" i="36"/>
  <c r="W34" i="36"/>
  <c r="W35" i="36"/>
  <c r="W36" i="36"/>
  <c r="W37" i="36"/>
  <c r="Z28" i="36"/>
  <c r="AG28" i="36" s="1"/>
  <c r="Z29" i="36"/>
  <c r="Z30" i="36"/>
  <c r="Z31" i="36"/>
  <c r="Z32" i="36"/>
  <c r="Z33" i="36"/>
  <c r="Z34" i="36"/>
  <c r="Z35" i="36"/>
  <c r="Z36" i="36"/>
  <c r="Z37" i="36"/>
  <c r="Z38" i="36"/>
  <c r="Z39" i="36"/>
  <c r="J27" i="36"/>
  <c r="J28" i="36"/>
  <c r="J29" i="36"/>
  <c r="J30" i="36"/>
  <c r="J31" i="36"/>
  <c r="J32" i="36"/>
  <c r="J33" i="36"/>
  <c r="J34" i="36"/>
  <c r="J35" i="36"/>
  <c r="J36" i="36"/>
  <c r="J37" i="36"/>
  <c r="Z9" i="36"/>
  <c r="Z10" i="36"/>
  <c r="Z11" i="36"/>
  <c r="Z12" i="36"/>
  <c r="Z13" i="36"/>
  <c r="Z14" i="36"/>
  <c r="Z15" i="36"/>
  <c r="Z16" i="36"/>
  <c r="Z17" i="36"/>
  <c r="Z18" i="36"/>
  <c r="Z19" i="36"/>
  <c r="W9" i="36"/>
  <c r="W10" i="36"/>
  <c r="AF10" i="36" s="1"/>
  <c r="W11" i="36"/>
  <c r="W12" i="36"/>
  <c r="W13" i="36"/>
  <c r="W14" i="36"/>
  <c r="AF14" i="36" s="1"/>
  <c r="W15" i="36"/>
  <c r="W16" i="36"/>
  <c r="W17" i="36"/>
  <c r="W18" i="36"/>
  <c r="AF18" i="36" s="1"/>
  <c r="W19" i="36"/>
  <c r="J9" i="36"/>
  <c r="J10" i="36"/>
  <c r="J11" i="36"/>
  <c r="J12" i="36"/>
  <c r="J13" i="36"/>
  <c r="J14" i="36"/>
  <c r="J15" i="36"/>
  <c r="J16" i="36"/>
  <c r="J17" i="36"/>
  <c r="J18" i="36"/>
  <c r="J19" i="36"/>
  <c r="Z28" i="34"/>
  <c r="Z29" i="34"/>
  <c r="Z30" i="34"/>
  <c r="Z31" i="34"/>
  <c r="Z32" i="34"/>
  <c r="Z33" i="34"/>
  <c r="Z34" i="34"/>
  <c r="W28" i="34"/>
  <c r="AF28" i="34" s="1"/>
  <c r="W29" i="34"/>
  <c r="W30" i="34"/>
  <c r="W31" i="34"/>
  <c r="W32" i="34"/>
  <c r="W33" i="34"/>
  <c r="W34" i="34"/>
  <c r="W35" i="34"/>
  <c r="W36" i="34"/>
  <c r="J28" i="34"/>
  <c r="J29" i="34"/>
  <c r="J30" i="34"/>
  <c r="J31" i="34"/>
  <c r="J32" i="34"/>
  <c r="J33" i="34"/>
  <c r="AE33" i="34" s="1"/>
  <c r="J34" i="34"/>
  <c r="J35" i="34"/>
  <c r="J36" i="34"/>
  <c r="J37" i="34"/>
  <c r="J8" i="34"/>
  <c r="AE8" i="34" s="1"/>
  <c r="J9" i="34"/>
  <c r="J10" i="34"/>
  <c r="J11" i="34"/>
  <c r="J12" i="34"/>
  <c r="J13" i="34"/>
  <c r="J14" i="34"/>
  <c r="J15" i="34"/>
  <c r="J16" i="34"/>
  <c r="J17" i="34"/>
  <c r="J18" i="34"/>
  <c r="Z8" i="34"/>
  <c r="Z9" i="34"/>
  <c r="Z10" i="34"/>
  <c r="Z11" i="34"/>
  <c r="Z12" i="34"/>
  <c r="Z13" i="34"/>
  <c r="Z14" i="34"/>
  <c r="W8" i="34"/>
  <c r="W9" i="34"/>
  <c r="W10" i="34"/>
  <c r="W11" i="34"/>
  <c r="AF11" i="34" s="1"/>
  <c r="W12" i="34"/>
  <c r="W13" i="34"/>
  <c r="W14" i="34"/>
  <c r="W15" i="34"/>
  <c r="W16" i="34"/>
  <c r="Z27" i="35"/>
  <c r="Z28" i="35"/>
  <c r="Z29" i="35"/>
  <c r="Z30" i="35"/>
  <c r="Z31" i="35"/>
  <c r="Z32" i="35"/>
  <c r="Z33" i="35"/>
  <c r="Z34" i="35"/>
  <c r="Z35" i="35"/>
  <c r="Z36" i="35"/>
  <c r="Z37" i="35"/>
  <c r="Z38" i="35"/>
  <c r="Z39" i="35"/>
  <c r="Z40" i="35"/>
  <c r="W27" i="35"/>
  <c r="W28" i="35"/>
  <c r="W29" i="35"/>
  <c r="W30" i="35"/>
  <c r="W31" i="35"/>
  <c r="W32" i="35"/>
  <c r="W33" i="35"/>
  <c r="W34" i="35"/>
  <c r="W35" i="35"/>
  <c r="W36" i="35"/>
  <c r="W37" i="35"/>
  <c r="W38" i="35"/>
  <c r="J27" i="35"/>
  <c r="AE27" i="35" s="1"/>
  <c r="J28" i="35"/>
  <c r="J29" i="35"/>
  <c r="J30" i="35"/>
  <c r="AE30" i="35" s="1"/>
  <c r="J31" i="35"/>
  <c r="AE31" i="35" s="1"/>
  <c r="J32" i="35"/>
  <c r="J33" i="35"/>
  <c r="J34" i="35"/>
  <c r="AE34" i="35" s="1"/>
  <c r="J35" i="35"/>
  <c r="AE35" i="35" s="1"/>
  <c r="J36" i="35"/>
  <c r="J37" i="35"/>
  <c r="J38" i="35"/>
  <c r="AE38" i="35" s="1"/>
  <c r="J39" i="35"/>
  <c r="J40" i="35"/>
  <c r="Z8" i="35"/>
  <c r="Z9" i="35"/>
  <c r="Z10" i="35"/>
  <c r="Z11" i="35"/>
  <c r="Z12" i="35"/>
  <c r="Z13" i="35"/>
  <c r="Z14" i="35"/>
  <c r="Z15" i="35"/>
  <c r="Z16" i="35"/>
  <c r="W8" i="35"/>
  <c r="AF8" i="35" s="1"/>
  <c r="W9" i="35"/>
  <c r="W10" i="35"/>
  <c r="W11" i="35"/>
  <c r="W12" i="35"/>
  <c r="AF12" i="35" s="1"/>
  <c r="W13" i="35"/>
  <c r="W14" i="35"/>
  <c r="W15" i="35"/>
  <c r="W16" i="35"/>
  <c r="AF16" i="35" s="1"/>
  <c r="W17" i="35"/>
  <c r="J8" i="35"/>
  <c r="J9" i="35"/>
  <c r="J10" i="35"/>
  <c r="J11" i="35"/>
  <c r="AE11" i="35" s="1"/>
  <c r="J12" i="35"/>
  <c r="J13" i="35"/>
  <c r="J14" i="35"/>
  <c r="J15" i="35"/>
  <c r="AE15" i="35" s="1"/>
  <c r="J16" i="35"/>
  <c r="J17" i="35"/>
  <c r="Z27" i="33"/>
  <c r="Z28" i="33"/>
  <c r="Z29" i="33"/>
  <c r="Z30" i="33"/>
  <c r="Z31" i="33"/>
  <c r="Z32" i="33"/>
  <c r="Z33" i="33"/>
  <c r="Z34" i="33"/>
  <c r="Z35" i="33"/>
  <c r="Z36" i="33"/>
  <c r="Z37" i="33"/>
  <c r="Z38" i="33"/>
  <c r="W27" i="33"/>
  <c r="W28" i="33"/>
  <c r="W29" i="33"/>
  <c r="W30" i="33"/>
  <c r="W31" i="33"/>
  <c r="W32" i="33"/>
  <c r="W33" i="33"/>
  <c r="W34" i="33"/>
  <c r="W35" i="33"/>
  <c r="W36" i="33"/>
  <c r="W37" i="33"/>
  <c r="W38" i="33"/>
  <c r="J27" i="33"/>
  <c r="AE27" i="33" s="1"/>
  <c r="J28" i="33"/>
  <c r="AD28" i="33" s="1"/>
  <c r="J29" i="33"/>
  <c r="AC29" i="33" s="1"/>
  <c r="J30" i="33"/>
  <c r="AE30" i="33" s="1"/>
  <c r="J31" i="33"/>
  <c r="AE31" i="33" s="1"/>
  <c r="J32" i="33"/>
  <c r="AD32" i="33" s="1"/>
  <c r="J33" i="33"/>
  <c r="AC33" i="33" s="1"/>
  <c r="J34" i="33"/>
  <c r="AE34" i="33" s="1"/>
  <c r="J35" i="33"/>
  <c r="AE35" i="33" s="1"/>
  <c r="J36" i="33"/>
  <c r="AD36" i="33" s="1"/>
  <c r="J37" i="33"/>
  <c r="AC37" i="33" s="1"/>
  <c r="Z6" i="33"/>
  <c r="Z7" i="33"/>
  <c r="Z8" i="33"/>
  <c r="Z9" i="33"/>
  <c r="Z10" i="33"/>
  <c r="Z11" i="33"/>
  <c r="Z12" i="33"/>
  <c r="Z13" i="33"/>
  <c r="Z14" i="33"/>
  <c r="Z15" i="33"/>
  <c r="Z16" i="33"/>
  <c r="W6" i="33"/>
  <c r="W7" i="33"/>
  <c r="W8" i="33"/>
  <c r="W9" i="33"/>
  <c r="AF9" i="33" s="1"/>
  <c r="W10" i="33"/>
  <c r="W11" i="33"/>
  <c r="W12" i="33"/>
  <c r="W13" i="33"/>
  <c r="AF13" i="33" s="1"/>
  <c r="W14" i="33"/>
  <c r="W15" i="33"/>
  <c r="J6" i="33"/>
  <c r="AE6" i="33" s="1"/>
  <c r="J7" i="33"/>
  <c r="AD7" i="33" s="1"/>
  <c r="J8" i="33"/>
  <c r="J9" i="33"/>
  <c r="J10" i="33"/>
  <c r="AE10" i="33" s="1"/>
  <c r="J11" i="33"/>
  <c r="AD11" i="33" s="1"/>
  <c r="J12" i="33"/>
  <c r="J13" i="33"/>
  <c r="J14" i="33"/>
  <c r="AE14" i="33" s="1"/>
  <c r="J15" i="33"/>
  <c r="AD15" i="33" s="1"/>
  <c r="J16" i="33"/>
  <c r="J17" i="33"/>
  <c r="Z30" i="14"/>
  <c r="AG30" i="14" s="1"/>
  <c r="Z31" i="14"/>
  <c r="W30" i="14"/>
  <c r="W31" i="14"/>
  <c r="AF31" i="14" s="1"/>
  <c r="W32" i="14"/>
  <c r="J30" i="14"/>
  <c r="J31" i="14"/>
  <c r="J17" i="14"/>
  <c r="AE17" i="14" s="1"/>
  <c r="J18" i="14"/>
  <c r="J19" i="14"/>
  <c r="AF35" i="33" l="1"/>
  <c r="AG35" i="33"/>
  <c r="AC12" i="33"/>
  <c r="AC8" i="33"/>
  <c r="AD28" i="35"/>
  <c r="AC32" i="34"/>
  <c r="AG28" i="34"/>
  <c r="AC32" i="36"/>
  <c r="AE9" i="17"/>
  <c r="AE27" i="17"/>
  <c r="AF30" i="17"/>
  <c r="AD10" i="15"/>
  <c r="AC11" i="15"/>
  <c r="AG9" i="15"/>
  <c r="AF10" i="15"/>
  <c r="AC37" i="15"/>
  <c r="AF8" i="15"/>
  <c r="AD8" i="15"/>
  <c r="AD31" i="15"/>
  <c r="AC31" i="15"/>
  <c r="AF36" i="33"/>
  <c r="AF32" i="33"/>
  <c r="AF37" i="17"/>
  <c r="AF33" i="17"/>
  <c r="AF29" i="17"/>
  <c r="AC8" i="15"/>
  <c r="AF31" i="33"/>
  <c r="AG27" i="33"/>
  <c r="AF30" i="35"/>
  <c r="AF27" i="33"/>
  <c r="AG10" i="33"/>
  <c r="AE13" i="35"/>
  <c r="AE9" i="35"/>
  <c r="AE37" i="35"/>
  <c r="AE33" i="35"/>
  <c r="AE29" i="35"/>
  <c r="AD10" i="36"/>
  <c r="AG16" i="16"/>
  <c r="AC29" i="16"/>
  <c r="AF9" i="15"/>
  <c r="AF11" i="15"/>
  <c r="AD37" i="15"/>
  <c r="AF12" i="33"/>
  <c r="AF8" i="33"/>
  <c r="AG15" i="33"/>
  <c r="AG11" i="33"/>
  <c r="AG7" i="33"/>
  <c r="AC10" i="33"/>
  <c r="AF37" i="33"/>
  <c r="AF33" i="33"/>
  <c r="AF29" i="33"/>
  <c r="AG37" i="33"/>
  <c r="AG33" i="33"/>
  <c r="AG29" i="33"/>
  <c r="AD30" i="33"/>
  <c r="AE32" i="33"/>
  <c r="AF15" i="35"/>
  <c r="AF37" i="35"/>
  <c r="AF33" i="35"/>
  <c r="AF29" i="35"/>
  <c r="AC37" i="35"/>
  <c r="AF13" i="34"/>
  <c r="AF9" i="34"/>
  <c r="AG12" i="34"/>
  <c r="AG8" i="34"/>
  <c r="AE11" i="34"/>
  <c r="AE18" i="36"/>
  <c r="AE13" i="36"/>
  <c r="AG16" i="36"/>
  <c r="AG12" i="36"/>
  <c r="AF36" i="36"/>
  <c r="AF32" i="36"/>
  <c r="AF28" i="36"/>
  <c r="AD29" i="16"/>
  <c r="AD15" i="16"/>
  <c r="AD29" i="17"/>
  <c r="AD33" i="17"/>
  <c r="AG37" i="17"/>
  <c r="AD31" i="14"/>
  <c r="AE30" i="14"/>
  <c r="AG31" i="14"/>
  <c r="AE13" i="33"/>
  <c r="AE9" i="33"/>
  <c r="AG36" i="33"/>
  <c r="AG32" i="33"/>
  <c r="AG28" i="33"/>
  <c r="AC31" i="33"/>
  <c r="AE12" i="35"/>
  <c r="AC8" i="35"/>
  <c r="AF14" i="35"/>
  <c r="AG38" i="35"/>
  <c r="AG34" i="35"/>
  <c r="AE14" i="34"/>
  <c r="AE10" i="34"/>
  <c r="AF29" i="34"/>
  <c r="AG32" i="34"/>
  <c r="AG29" i="16"/>
  <c r="AG29" i="17"/>
  <c r="AG33" i="17"/>
  <c r="AC35" i="15"/>
  <c r="AC32" i="15"/>
  <c r="AF14" i="33"/>
  <c r="AF10" i="33"/>
  <c r="AF6" i="33"/>
  <c r="AG13" i="33"/>
  <c r="AG9" i="33"/>
  <c r="AC6" i="33"/>
  <c r="AC14" i="33"/>
  <c r="AE28" i="33"/>
  <c r="AD34" i="33"/>
  <c r="AE36" i="33"/>
  <c r="AG14" i="35"/>
  <c r="AG10" i="35"/>
  <c r="AG37" i="35"/>
  <c r="AC33" i="35"/>
  <c r="AD29" i="35"/>
  <c r="AC13" i="34"/>
  <c r="AC9" i="34"/>
  <c r="AC31" i="34"/>
  <c r="AF32" i="34"/>
  <c r="AG17" i="17"/>
  <c r="AG13" i="17"/>
  <c r="AG9" i="17"/>
  <c r="AF36" i="17"/>
  <c r="AF32" i="17"/>
  <c r="AF28" i="17"/>
  <c r="AC37" i="17"/>
  <c r="AD9" i="15"/>
  <c r="AD35" i="15"/>
  <c r="AG12" i="33"/>
  <c r="AG8" i="33"/>
  <c r="AG6" i="33"/>
  <c r="AG14" i="33"/>
  <c r="AF34" i="33"/>
  <c r="AF30" i="33"/>
  <c r="AG34" i="33"/>
  <c r="AG30" i="33"/>
  <c r="AC27" i="33"/>
  <c r="AF28" i="33"/>
  <c r="AG31" i="33"/>
  <c r="AC35" i="33"/>
  <c r="AG36" i="35"/>
  <c r="AG32" i="35"/>
  <c r="AG28" i="35"/>
  <c r="AG33" i="35"/>
  <c r="AG17" i="36"/>
  <c r="AG13" i="36"/>
  <c r="AG9" i="36"/>
  <c r="AG35" i="36"/>
  <c r="AG31" i="36"/>
  <c r="AF37" i="36"/>
  <c r="AF33" i="36"/>
  <c r="AF29" i="36"/>
  <c r="AD18" i="17"/>
  <c r="AF8" i="17"/>
  <c r="AF35" i="17"/>
  <c r="AF31" i="17"/>
  <c r="AF27" i="17"/>
  <c r="AC29" i="17"/>
  <c r="AC33" i="17"/>
  <c r="AD37" i="17"/>
  <c r="AE10" i="15"/>
  <c r="AG18" i="14"/>
  <c r="AD18" i="14"/>
  <c r="AC18" i="14"/>
  <c r="AE18" i="14"/>
  <c r="AG17" i="14"/>
  <c r="AD17" i="14"/>
  <c r="AC17" i="14"/>
  <c r="AF17" i="14"/>
  <c r="AF18" i="14"/>
  <c r="AF30" i="14"/>
  <c r="AE31" i="14"/>
  <c r="AE7" i="33"/>
  <c r="AD8" i="33"/>
  <c r="AC9" i="33"/>
  <c r="AE11" i="33"/>
  <c r="AD12" i="33"/>
  <c r="AC13" i="33"/>
  <c r="AE15" i="33"/>
  <c r="AD29" i="33"/>
  <c r="AC30" i="33"/>
  <c r="AD33" i="33"/>
  <c r="AC34" i="33"/>
  <c r="AD37" i="33"/>
  <c r="AE14" i="35"/>
  <c r="AD14" i="35"/>
  <c r="AE10" i="35"/>
  <c r="AD10" i="35"/>
  <c r="AC9" i="35"/>
  <c r="AF10" i="35"/>
  <c r="AD12" i="35"/>
  <c r="AG13" i="35"/>
  <c r="AG16" i="35"/>
  <c r="AG12" i="35"/>
  <c r="AG8" i="35"/>
  <c r="AG35" i="35"/>
  <c r="AG31" i="35"/>
  <c r="AG27" i="35"/>
  <c r="AD9" i="35"/>
  <c r="AC14" i="35"/>
  <c r="AF34" i="35"/>
  <c r="AE8" i="33"/>
  <c r="AF11" i="33"/>
  <c r="AD13" i="33"/>
  <c r="AE29" i="33"/>
  <c r="AE33" i="33"/>
  <c r="AC30" i="14"/>
  <c r="AC31" i="14"/>
  <c r="AD30" i="14"/>
  <c r="AD6" i="33"/>
  <c r="AC7" i="33"/>
  <c r="AD10" i="33"/>
  <c r="AC11" i="33"/>
  <c r="AD14" i="33"/>
  <c r="AC15" i="33"/>
  <c r="AD27" i="33"/>
  <c r="AC28" i="33"/>
  <c r="AD31" i="33"/>
  <c r="AC32" i="33"/>
  <c r="AD35" i="33"/>
  <c r="AC36" i="33"/>
  <c r="AC16" i="35"/>
  <c r="AC12" i="35"/>
  <c r="AG15" i="35"/>
  <c r="AG11" i="35"/>
  <c r="AC36" i="35"/>
  <c r="AE36" i="35"/>
  <c r="AC32" i="35"/>
  <c r="AE32" i="35"/>
  <c r="AC28" i="35"/>
  <c r="AE28" i="35"/>
  <c r="AF36" i="35"/>
  <c r="AF32" i="35"/>
  <c r="AF28" i="35"/>
  <c r="AG30" i="35"/>
  <c r="AC30" i="35"/>
  <c r="AD8" i="35"/>
  <c r="AG9" i="35"/>
  <c r="AC13" i="35"/>
  <c r="AD16" i="35"/>
  <c r="AC29" i="35"/>
  <c r="AD32" i="35"/>
  <c r="AF38" i="35"/>
  <c r="AF14" i="34"/>
  <c r="AD14" i="34"/>
  <c r="AG14" i="34"/>
  <c r="AC14" i="34"/>
  <c r="AF10" i="34"/>
  <c r="AD10" i="34"/>
  <c r="AG10" i="34"/>
  <c r="AC10" i="34"/>
  <c r="AG13" i="34"/>
  <c r="AD13" i="34"/>
  <c r="AG9" i="34"/>
  <c r="AD9" i="34"/>
  <c r="AD12" i="34"/>
  <c r="AC12" i="34"/>
  <c r="AF12" i="34"/>
  <c r="AE12" i="34"/>
  <c r="AD8" i="34"/>
  <c r="AC8" i="34"/>
  <c r="AF8" i="34"/>
  <c r="AC34" i="34"/>
  <c r="AE34" i="34"/>
  <c r="AD34" i="34"/>
  <c r="AC30" i="34"/>
  <c r="AE30" i="34"/>
  <c r="AD30" i="34"/>
  <c r="AF31" i="34"/>
  <c r="AG31" i="34"/>
  <c r="AG34" i="34"/>
  <c r="AG30" i="34"/>
  <c r="AF7" i="33"/>
  <c r="AD9" i="33"/>
  <c r="AE12" i="33"/>
  <c r="AF15" i="33"/>
  <c r="AE37" i="33"/>
  <c r="AD15" i="35"/>
  <c r="AC15" i="35"/>
  <c r="AD11" i="35"/>
  <c r="AC11" i="35"/>
  <c r="AF13" i="35"/>
  <c r="AF9" i="35"/>
  <c r="AD35" i="35"/>
  <c r="AC35" i="35"/>
  <c r="AD31" i="35"/>
  <c r="AC31" i="35"/>
  <c r="AD27" i="35"/>
  <c r="AC27" i="35"/>
  <c r="AF35" i="35"/>
  <c r="AF31" i="35"/>
  <c r="AF27" i="35"/>
  <c r="AE8" i="35"/>
  <c r="AC10" i="35"/>
  <c r="AF11" i="35"/>
  <c r="AD13" i="35"/>
  <c r="AE16" i="35"/>
  <c r="AG29" i="35"/>
  <c r="AD36" i="35"/>
  <c r="AC19" i="36"/>
  <c r="AD19" i="36"/>
  <c r="AC15" i="36"/>
  <c r="AE15" i="36"/>
  <c r="AE11" i="36"/>
  <c r="AD11" i="36"/>
  <c r="AD34" i="36"/>
  <c r="AC34" i="36"/>
  <c r="AE34" i="36"/>
  <c r="AD30" i="36"/>
  <c r="AC30" i="36"/>
  <c r="AG11" i="36"/>
  <c r="AD15" i="36"/>
  <c r="AD35" i="36"/>
  <c r="AD33" i="35"/>
  <c r="AC34" i="35"/>
  <c r="AD37" i="35"/>
  <c r="AC38" i="35"/>
  <c r="AD33" i="34"/>
  <c r="AC33" i="34"/>
  <c r="AD29" i="34"/>
  <c r="AC29" i="34"/>
  <c r="AF34" i="34"/>
  <c r="AF30" i="34"/>
  <c r="AG33" i="34"/>
  <c r="AG29" i="34"/>
  <c r="AE9" i="34"/>
  <c r="AC11" i="34"/>
  <c r="AG11" i="34"/>
  <c r="AE13" i="34"/>
  <c r="AF33" i="34"/>
  <c r="AD18" i="36"/>
  <c r="AC18" i="36"/>
  <c r="AE14" i="36"/>
  <c r="AE10" i="36"/>
  <c r="AF17" i="36"/>
  <c r="AF13" i="36"/>
  <c r="AF9" i="36"/>
  <c r="AE37" i="36"/>
  <c r="AD37" i="36"/>
  <c r="AC37" i="36"/>
  <c r="AE33" i="36"/>
  <c r="AD33" i="36"/>
  <c r="AE29" i="36"/>
  <c r="AD29" i="36"/>
  <c r="AC29" i="36"/>
  <c r="AG34" i="36"/>
  <c r="AG30" i="36"/>
  <c r="AD9" i="36"/>
  <c r="AG10" i="36"/>
  <c r="AE12" i="36"/>
  <c r="AC14" i="36"/>
  <c r="AD16" i="36"/>
  <c r="AE19" i="36"/>
  <c r="AG29" i="36"/>
  <c r="AC33" i="36"/>
  <c r="AD36" i="36"/>
  <c r="AC18" i="17"/>
  <c r="AE18" i="17"/>
  <c r="AC14" i="17"/>
  <c r="AE14" i="17"/>
  <c r="AD14" i="17"/>
  <c r="AC10" i="17"/>
  <c r="AE10" i="17"/>
  <c r="AD10" i="17"/>
  <c r="AC6" i="17"/>
  <c r="AE6" i="17"/>
  <c r="AD6" i="17"/>
  <c r="AG16" i="17"/>
  <c r="AC16" i="17"/>
  <c r="AF16" i="17"/>
  <c r="AG12" i="17"/>
  <c r="AC12" i="17"/>
  <c r="AF12" i="17"/>
  <c r="AG8" i="17"/>
  <c r="AC8" i="17"/>
  <c r="AF19" i="17"/>
  <c r="AD19" i="17"/>
  <c r="AC19" i="17"/>
  <c r="AF15" i="17"/>
  <c r="AD15" i="17"/>
  <c r="AG15" i="17"/>
  <c r="AF11" i="17"/>
  <c r="AD11" i="17"/>
  <c r="AC11" i="17"/>
  <c r="AF7" i="17"/>
  <c r="AD7" i="17"/>
  <c r="AC7" i="17"/>
  <c r="AC36" i="17"/>
  <c r="AE36" i="17"/>
  <c r="AD36" i="17"/>
  <c r="AC32" i="17"/>
  <c r="AE32" i="17"/>
  <c r="AD32" i="17"/>
  <c r="AC28" i="17"/>
  <c r="AE28" i="17"/>
  <c r="AD28" i="17"/>
  <c r="AE35" i="17"/>
  <c r="AD30" i="35"/>
  <c r="AD34" i="35"/>
  <c r="AD38" i="35"/>
  <c r="AE32" i="34"/>
  <c r="AD32" i="34"/>
  <c r="AE28" i="34"/>
  <c r="AD28" i="34"/>
  <c r="AD11" i="34"/>
  <c r="AE29" i="34"/>
  <c r="AC13" i="36"/>
  <c r="AC9" i="36"/>
  <c r="AG33" i="36"/>
  <c r="AE9" i="36"/>
  <c r="AC11" i="36"/>
  <c r="AF12" i="36"/>
  <c r="AD14" i="36"/>
  <c r="AE30" i="36"/>
  <c r="AG36" i="36"/>
  <c r="AG19" i="17"/>
  <c r="AG7" i="17"/>
  <c r="AG11" i="17"/>
  <c r="AE31" i="34"/>
  <c r="AC28" i="34"/>
  <c r="AD31" i="34"/>
  <c r="AD12" i="36"/>
  <c r="AE35" i="36"/>
  <c r="AG32" i="36"/>
  <c r="AF30" i="36"/>
  <c r="AC10" i="36"/>
  <c r="AF11" i="36"/>
  <c r="AD13" i="36"/>
  <c r="AG14" i="36"/>
  <c r="AD28" i="36"/>
  <c r="AE31" i="36"/>
  <c r="AF34" i="36"/>
  <c r="AG37" i="36"/>
  <c r="AC15" i="17"/>
  <c r="AE17" i="36"/>
  <c r="AD17" i="36"/>
  <c r="AF16" i="36"/>
  <c r="AG19" i="36"/>
  <c r="AG15" i="36"/>
  <c r="AE36" i="36"/>
  <c r="AE32" i="36"/>
  <c r="AE28" i="36"/>
  <c r="AF35" i="36"/>
  <c r="AF31" i="36"/>
  <c r="AC12" i="36"/>
  <c r="AC17" i="36"/>
  <c r="AD32" i="36"/>
  <c r="AF17" i="16"/>
  <c r="AG17" i="16"/>
  <c r="AD17" i="17"/>
  <c r="AC17" i="17"/>
  <c r="AF17" i="17"/>
  <c r="AD13" i="17"/>
  <c r="AC13" i="17"/>
  <c r="AF13" i="17"/>
  <c r="AD9" i="17"/>
  <c r="AC9" i="17"/>
  <c r="AF9" i="17"/>
  <c r="AF18" i="17"/>
  <c r="AF14" i="17"/>
  <c r="AF10" i="17"/>
  <c r="AF6" i="17"/>
  <c r="AD35" i="17"/>
  <c r="AC35" i="17"/>
  <c r="AD31" i="17"/>
  <c r="AC31" i="17"/>
  <c r="AD27" i="17"/>
  <c r="AC27" i="17"/>
  <c r="AG34" i="17"/>
  <c r="AC34" i="17"/>
  <c r="AG30" i="17"/>
  <c r="AC30" i="17"/>
  <c r="AG36" i="17"/>
  <c r="AG32" i="17"/>
  <c r="AG28" i="17"/>
  <c r="AE13" i="17"/>
  <c r="AE31" i="17"/>
  <c r="AE16" i="36"/>
  <c r="AF19" i="36"/>
  <c r="AF15" i="36"/>
  <c r="AG18" i="36"/>
  <c r="AC35" i="36"/>
  <c r="AC31" i="36"/>
  <c r="AC16" i="36"/>
  <c r="AC28" i="36"/>
  <c r="AD31" i="36"/>
  <c r="AC36" i="36"/>
  <c r="AE16" i="16"/>
  <c r="AC16" i="16"/>
  <c r="AF16" i="16"/>
  <c r="AE16" i="17"/>
  <c r="AE12" i="17"/>
  <c r="AE8" i="17"/>
  <c r="AG18" i="17"/>
  <c r="AG14" i="17"/>
  <c r="AG10" i="17"/>
  <c r="AG6" i="17"/>
  <c r="AD16" i="16"/>
  <c r="AG35" i="17"/>
  <c r="AG31" i="17"/>
  <c r="AG27" i="17"/>
  <c r="AE17" i="17"/>
  <c r="AF34" i="17"/>
  <c r="AF15" i="16"/>
  <c r="AG15" i="16"/>
  <c r="AD28" i="16"/>
  <c r="AF29" i="16"/>
  <c r="AE15" i="16"/>
  <c r="AD8" i="17"/>
  <c r="AD12" i="17"/>
  <c r="AD16" i="17"/>
  <c r="AD30" i="17"/>
  <c r="AD34" i="17"/>
  <c r="AG18" i="16"/>
  <c r="AF28" i="16"/>
  <c r="AG30" i="16"/>
  <c r="AE28" i="16"/>
  <c r="AD18" i="16"/>
  <c r="AC18" i="16"/>
  <c r="AF18" i="16"/>
  <c r="AE31" i="16"/>
  <c r="AG31" i="16"/>
  <c r="AC31" i="16"/>
  <c r="AD31" i="16"/>
  <c r="AE27" i="16"/>
  <c r="AG27" i="16"/>
  <c r="AC27" i="16"/>
  <c r="AD27" i="16"/>
  <c r="AE18" i="16"/>
  <c r="AD30" i="16"/>
  <c r="AC30" i="16"/>
  <c r="AF30" i="16"/>
  <c r="AG28" i="16"/>
  <c r="AF27" i="16"/>
  <c r="AC28" i="16"/>
  <c r="AE30" i="16"/>
  <c r="AD17" i="16"/>
  <c r="AE29" i="16"/>
  <c r="AC17" i="16"/>
  <c r="G9" i="5"/>
  <c r="G10" i="5"/>
  <c r="G11" i="5"/>
  <c r="G12" i="5"/>
  <c r="G13" i="5"/>
  <c r="G14" i="5"/>
  <c r="G15" i="5"/>
  <c r="G16" i="5"/>
  <c r="G17" i="5"/>
  <c r="G18" i="5"/>
  <c r="G19" i="5"/>
  <c r="G22" i="5"/>
  <c r="G23" i="5"/>
  <c r="G24" i="5"/>
  <c r="G25" i="5"/>
  <c r="G26" i="5"/>
  <c r="G27" i="5"/>
  <c r="G28" i="5"/>
  <c r="G29" i="5"/>
  <c r="G30" i="5"/>
  <c r="G31" i="5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8" i="4"/>
  <c r="G8" i="3"/>
  <c r="G9" i="2"/>
  <c r="G10" i="2"/>
  <c r="G11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8" i="2"/>
  <c r="G46" i="37" l="1"/>
  <c r="N5" i="12"/>
  <c r="F5" i="12"/>
  <c r="F26" i="12" s="1"/>
  <c r="K5" i="12"/>
  <c r="L5" i="12"/>
  <c r="M5" i="12"/>
  <c r="K6" i="12"/>
  <c r="L6" i="12"/>
  <c r="M6" i="12"/>
  <c r="N6" i="12"/>
  <c r="K7" i="12"/>
  <c r="L7" i="12"/>
  <c r="M7" i="12"/>
  <c r="N7" i="12"/>
  <c r="K8" i="12"/>
  <c r="L8" i="12"/>
  <c r="M8" i="12"/>
  <c r="N8" i="12"/>
  <c r="K9" i="12"/>
  <c r="L9" i="12"/>
  <c r="M9" i="12"/>
  <c r="N9" i="12"/>
  <c r="K10" i="12"/>
  <c r="L10" i="12"/>
  <c r="M10" i="12"/>
  <c r="N10" i="12"/>
  <c r="K11" i="12"/>
  <c r="L11" i="12"/>
  <c r="M11" i="12"/>
  <c r="N11" i="12"/>
  <c r="K12" i="12"/>
  <c r="L12" i="12"/>
  <c r="M12" i="12"/>
  <c r="N12" i="12"/>
  <c r="K13" i="12"/>
  <c r="L13" i="12"/>
  <c r="M13" i="12"/>
  <c r="N13" i="12"/>
  <c r="K14" i="12"/>
  <c r="L14" i="12"/>
  <c r="M14" i="12"/>
  <c r="N14" i="12"/>
  <c r="K15" i="12"/>
  <c r="L15" i="12"/>
  <c r="M15" i="12"/>
  <c r="N15" i="12"/>
  <c r="K16" i="12"/>
  <c r="L16" i="12"/>
  <c r="M16" i="12"/>
  <c r="N16" i="12"/>
  <c r="K17" i="12"/>
  <c r="L17" i="12"/>
  <c r="M17" i="12"/>
  <c r="N17" i="12"/>
  <c r="K18" i="12"/>
  <c r="L18" i="12"/>
  <c r="M18" i="12"/>
  <c r="N18" i="12"/>
  <c r="K19" i="12"/>
  <c r="L19" i="12"/>
  <c r="M19" i="12"/>
  <c r="N19" i="12"/>
  <c r="K20" i="12"/>
  <c r="L20" i="12"/>
  <c r="M20" i="12"/>
  <c r="N20" i="12"/>
  <c r="K21" i="12"/>
  <c r="L21" i="12"/>
  <c r="M21" i="12"/>
  <c r="N21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5" i="12"/>
  <c r="C5" i="12"/>
  <c r="C26" i="12" s="1"/>
  <c r="D5" i="12"/>
  <c r="D26" i="12" s="1"/>
  <c r="E5" i="12"/>
  <c r="E26" i="12" s="1"/>
  <c r="C6" i="12"/>
  <c r="C27" i="12" s="1"/>
  <c r="D6" i="12"/>
  <c r="D27" i="12" s="1"/>
  <c r="E6" i="12"/>
  <c r="E27" i="12" s="1"/>
  <c r="F6" i="12"/>
  <c r="F27" i="12" s="1"/>
  <c r="C7" i="12"/>
  <c r="C28" i="12" s="1"/>
  <c r="D7" i="12"/>
  <c r="D28" i="12" s="1"/>
  <c r="E7" i="12"/>
  <c r="E28" i="12" s="1"/>
  <c r="F7" i="12"/>
  <c r="F28" i="12" s="1"/>
  <c r="C8" i="12"/>
  <c r="C29" i="12" s="1"/>
  <c r="D8" i="12"/>
  <c r="D29" i="12" s="1"/>
  <c r="E8" i="12"/>
  <c r="E29" i="12" s="1"/>
  <c r="F8" i="12"/>
  <c r="F29" i="12" s="1"/>
  <c r="C9" i="12"/>
  <c r="C30" i="12" s="1"/>
  <c r="D9" i="12"/>
  <c r="D30" i="12" s="1"/>
  <c r="E9" i="12"/>
  <c r="E30" i="12" s="1"/>
  <c r="F9" i="12"/>
  <c r="F30" i="12" s="1"/>
  <c r="C10" i="12"/>
  <c r="C31" i="12" s="1"/>
  <c r="D10" i="12"/>
  <c r="D31" i="12" s="1"/>
  <c r="E10" i="12"/>
  <c r="E31" i="12" s="1"/>
  <c r="F10" i="12"/>
  <c r="F31" i="12" s="1"/>
  <c r="C11" i="12"/>
  <c r="C32" i="12" s="1"/>
  <c r="D11" i="12"/>
  <c r="D32" i="12" s="1"/>
  <c r="E11" i="12"/>
  <c r="E32" i="12" s="1"/>
  <c r="F11" i="12"/>
  <c r="F32" i="12" s="1"/>
  <c r="C12" i="12"/>
  <c r="C33" i="12" s="1"/>
  <c r="D12" i="12"/>
  <c r="D33" i="12" s="1"/>
  <c r="E12" i="12"/>
  <c r="E33" i="12" s="1"/>
  <c r="F12" i="12"/>
  <c r="F33" i="12" s="1"/>
  <c r="C13" i="12"/>
  <c r="C34" i="12" s="1"/>
  <c r="D13" i="12"/>
  <c r="D34" i="12" s="1"/>
  <c r="E13" i="12"/>
  <c r="E34" i="12" s="1"/>
  <c r="F13" i="12"/>
  <c r="F34" i="12" s="1"/>
  <c r="C14" i="12"/>
  <c r="C35" i="12" s="1"/>
  <c r="D14" i="12"/>
  <c r="D35" i="12" s="1"/>
  <c r="E14" i="12"/>
  <c r="E35" i="12" s="1"/>
  <c r="F14" i="12"/>
  <c r="F35" i="12" s="1"/>
  <c r="C15" i="12"/>
  <c r="D15" i="12"/>
  <c r="D36" i="12" s="1"/>
  <c r="E15" i="12"/>
  <c r="E36" i="12" s="1"/>
  <c r="F15" i="12"/>
  <c r="F36" i="12" s="1"/>
  <c r="C16" i="12"/>
  <c r="C37" i="12" s="1"/>
  <c r="D16" i="12"/>
  <c r="D37" i="12" s="1"/>
  <c r="E16" i="12"/>
  <c r="E37" i="12" s="1"/>
  <c r="F16" i="12"/>
  <c r="F37" i="12" s="1"/>
  <c r="C17" i="12"/>
  <c r="C38" i="12" s="1"/>
  <c r="D17" i="12"/>
  <c r="D38" i="12" s="1"/>
  <c r="E17" i="12"/>
  <c r="E38" i="12" s="1"/>
  <c r="F17" i="12"/>
  <c r="F38" i="12" s="1"/>
  <c r="C18" i="12"/>
  <c r="C39" i="12" s="1"/>
  <c r="D18" i="12"/>
  <c r="D39" i="12" s="1"/>
  <c r="E18" i="12"/>
  <c r="E39" i="12" s="1"/>
  <c r="F18" i="12"/>
  <c r="F39" i="12" s="1"/>
  <c r="C19" i="12"/>
  <c r="C40" i="12" s="1"/>
  <c r="D19" i="12"/>
  <c r="D40" i="12" s="1"/>
  <c r="E19" i="12"/>
  <c r="E40" i="12" s="1"/>
  <c r="F19" i="12"/>
  <c r="F40" i="12" s="1"/>
  <c r="C20" i="12"/>
  <c r="C41" i="12" s="1"/>
  <c r="D20" i="12"/>
  <c r="D41" i="12" s="1"/>
  <c r="E20" i="12"/>
  <c r="E41" i="12" s="1"/>
  <c r="F20" i="12"/>
  <c r="F41" i="12" s="1"/>
  <c r="C21" i="12"/>
  <c r="C42" i="12" s="1"/>
  <c r="D21" i="12"/>
  <c r="D42" i="12" s="1"/>
  <c r="E21" i="12"/>
  <c r="E42" i="12" s="1"/>
  <c r="F21" i="12"/>
  <c r="F42" i="12" s="1"/>
  <c r="F62" i="12" s="1"/>
  <c r="B6" i="12"/>
  <c r="B27" i="12" s="1"/>
  <c r="B7" i="12"/>
  <c r="B28" i="12" s="1"/>
  <c r="B8" i="12"/>
  <c r="B29" i="12" s="1"/>
  <c r="B9" i="12"/>
  <c r="B30" i="12" s="1"/>
  <c r="B50" i="12" s="1"/>
  <c r="B10" i="12"/>
  <c r="B31" i="12" s="1"/>
  <c r="B11" i="12"/>
  <c r="B32" i="12" s="1"/>
  <c r="B12" i="12"/>
  <c r="B33" i="12" s="1"/>
  <c r="B13" i="12"/>
  <c r="B34" i="12" s="1"/>
  <c r="B54" i="12" s="1"/>
  <c r="B14" i="12"/>
  <c r="B35" i="12" s="1"/>
  <c r="B15" i="12"/>
  <c r="B36" i="12" s="1"/>
  <c r="B16" i="12"/>
  <c r="B37" i="12" s="1"/>
  <c r="B17" i="12"/>
  <c r="B38" i="12" s="1"/>
  <c r="B58" i="12" s="1"/>
  <c r="B18" i="12"/>
  <c r="B39" i="12" s="1"/>
  <c r="B19" i="12"/>
  <c r="B40" i="12" s="1"/>
  <c r="B20" i="12"/>
  <c r="B41" i="12" s="1"/>
  <c r="B21" i="12"/>
  <c r="B42" i="12" s="1"/>
  <c r="B62" i="12" s="1"/>
  <c r="B5" i="12"/>
  <c r="B26" i="12" s="1"/>
  <c r="B46" i="12" s="1"/>
  <c r="B56" i="12" l="1"/>
  <c r="D61" i="12"/>
  <c r="D57" i="12"/>
  <c r="D53" i="12"/>
  <c r="D49" i="12"/>
  <c r="D60" i="12"/>
  <c r="B59" i="12"/>
  <c r="B55" i="12"/>
  <c r="B51" i="12"/>
  <c r="B47" i="12"/>
  <c r="C62" i="12"/>
  <c r="C61" i="12"/>
  <c r="C60" i="12"/>
  <c r="C59" i="12"/>
  <c r="C58" i="12"/>
  <c r="C57" i="12"/>
  <c r="C55" i="12"/>
  <c r="C54" i="12"/>
  <c r="C53" i="12"/>
  <c r="C52" i="12"/>
  <c r="C51" i="12"/>
  <c r="C50" i="12"/>
  <c r="C49" i="12"/>
  <c r="C48" i="12"/>
  <c r="C47" i="12"/>
  <c r="D56" i="12"/>
  <c r="D52" i="12"/>
  <c r="B52" i="12"/>
  <c r="D48" i="12"/>
  <c r="C36" i="12"/>
  <c r="C56" i="12" s="1"/>
  <c r="C46" i="12"/>
  <c r="G46" i="12"/>
  <c r="F46" i="12"/>
  <c r="G61" i="12"/>
  <c r="F61" i="12"/>
  <c r="G60" i="12"/>
  <c r="F60" i="12"/>
  <c r="F59" i="12"/>
  <c r="G59" i="12"/>
  <c r="G58" i="12"/>
  <c r="F58" i="12"/>
  <c r="G57" i="12"/>
  <c r="F57" i="12"/>
  <c r="F56" i="12"/>
  <c r="G56" i="12"/>
  <c r="F55" i="12"/>
  <c r="G55" i="12"/>
  <c r="G54" i="12"/>
  <c r="F54" i="12"/>
  <c r="G53" i="12"/>
  <c r="F53" i="12"/>
  <c r="G52" i="12"/>
  <c r="F52" i="12"/>
  <c r="F51" i="12"/>
  <c r="G51" i="12"/>
  <c r="G50" i="12"/>
  <c r="F50" i="12"/>
  <c r="G49" i="12"/>
  <c r="F49" i="12"/>
  <c r="F48" i="12"/>
  <c r="G48" i="12"/>
  <c r="G47" i="12"/>
  <c r="F47" i="12"/>
  <c r="E46" i="12"/>
  <c r="B48" i="12"/>
  <c r="D59" i="12"/>
  <c r="D55" i="12"/>
  <c r="D51" i="12"/>
  <c r="D47" i="12"/>
  <c r="B61" i="12"/>
  <c r="B57" i="12"/>
  <c r="B53" i="12"/>
  <c r="B49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B60" i="12"/>
  <c r="D62" i="12"/>
  <c r="D58" i="12"/>
  <c r="D54" i="12"/>
  <c r="D50" i="12"/>
  <c r="D46" i="12"/>
  <c r="B62" i="42"/>
  <c r="F62" i="42"/>
  <c r="E62" i="42"/>
  <c r="D62" i="42"/>
  <c r="C62" i="42"/>
  <c r="G61" i="42"/>
  <c r="F61" i="42"/>
  <c r="E61" i="42"/>
  <c r="D61" i="42"/>
  <c r="C61" i="42"/>
  <c r="B61" i="42"/>
  <c r="G60" i="42"/>
  <c r="F60" i="42"/>
  <c r="E60" i="42"/>
  <c r="D60" i="42"/>
  <c r="C60" i="42"/>
  <c r="B60" i="42"/>
  <c r="G59" i="42"/>
  <c r="F59" i="42"/>
  <c r="E59" i="42"/>
  <c r="D59" i="42"/>
  <c r="C59" i="42"/>
  <c r="B59" i="42"/>
  <c r="G58" i="42"/>
  <c r="F58" i="42"/>
  <c r="E58" i="42"/>
  <c r="D58" i="42"/>
  <c r="C58" i="42"/>
  <c r="B58" i="42"/>
  <c r="G57" i="42"/>
  <c r="F57" i="42"/>
  <c r="E57" i="42"/>
  <c r="D57" i="42"/>
  <c r="C57" i="42"/>
  <c r="B57" i="42"/>
  <c r="G56" i="42"/>
  <c r="F56" i="42"/>
  <c r="E56" i="42"/>
  <c r="D56" i="42"/>
  <c r="C56" i="42"/>
  <c r="B56" i="42"/>
  <c r="G55" i="42"/>
  <c r="F55" i="42"/>
  <c r="E55" i="42"/>
  <c r="D55" i="42"/>
  <c r="C55" i="42"/>
  <c r="B55" i="42"/>
  <c r="G54" i="42"/>
  <c r="F54" i="42"/>
  <c r="E54" i="42"/>
  <c r="D54" i="42"/>
  <c r="C54" i="42"/>
  <c r="B54" i="42"/>
  <c r="G53" i="42"/>
  <c r="F53" i="42"/>
  <c r="E53" i="42"/>
  <c r="D53" i="42"/>
  <c r="C53" i="42"/>
  <c r="B53" i="42"/>
  <c r="G52" i="42"/>
  <c r="F52" i="42"/>
  <c r="E52" i="42"/>
  <c r="D52" i="42"/>
  <c r="C52" i="42"/>
  <c r="B52" i="42"/>
  <c r="G51" i="42"/>
  <c r="F51" i="42"/>
  <c r="E51" i="42"/>
  <c r="D51" i="42"/>
  <c r="C51" i="42"/>
  <c r="B51" i="42"/>
  <c r="G50" i="42"/>
  <c r="F50" i="42"/>
  <c r="E50" i="42"/>
  <c r="D50" i="42"/>
  <c r="C50" i="42"/>
  <c r="B50" i="42"/>
  <c r="G49" i="42"/>
  <c r="F49" i="42"/>
  <c r="E49" i="42"/>
  <c r="D49" i="42"/>
  <c r="C49" i="42"/>
  <c r="B49" i="42"/>
  <c r="G48" i="42"/>
  <c r="F48" i="42"/>
  <c r="E48" i="42"/>
  <c r="D48" i="42"/>
  <c r="C48" i="42"/>
  <c r="B48" i="42"/>
  <c r="G47" i="42"/>
  <c r="F47" i="42"/>
  <c r="E47" i="42"/>
  <c r="D47" i="42"/>
  <c r="C47" i="42"/>
  <c r="B47" i="42"/>
  <c r="G46" i="42"/>
  <c r="F46" i="42"/>
  <c r="E46" i="42"/>
  <c r="D46" i="42"/>
  <c r="C46" i="42"/>
  <c r="B46" i="42"/>
  <c r="B62" i="41"/>
  <c r="F62" i="41"/>
  <c r="E62" i="41"/>
  <c r="D62" i="41"/>
  <c r="C62" i="41"/>
  <c r="G61" i="41"/>
  <c r="F61" i="41"/>
  <c r="E61" i="41"/>
  <c r="D61" i="41"/>
  <c r="C61" i="41"/>
  <c r="B61" i="41"/>
  <c r="G60" i="41"/>
  <c r="F60" i="41"/>
  <c r="E60" i="41"/>
  <c r="D60" i="41"/>
  <c r="C60" i="41"/>
  <c r="B60" i="41"/>
  <c r="G59" i="41"/>
  <c r="F59" i="41"/>
  <c r="E59" i="41"/>
  <c r="D59" i="41"/>
  <c r="C59" i="41"/>
  <c r="B59" i="41"/>
  <c r="G58" i="41"/>
  <c r="F58" i="41"/>
  <c r="E58" i="41"/>
  <c r="D58" i="41"/>
  <c r="C58" i="41"/>
  <c r="B58" i="41"/>
  <c r="G57" i="41"/>
  <c r="F57" i="41"/>
  <c r="E57" i="41"/>
  <c r="D57" i="41"/>
  <c r="C57" i="41"/>
  <c r="B57" i="41"/>
  <c r="G56" i="41"/>
  <c r="F56" i="41"/>
  <c r="E56" i="41"/>
  <c r="D56" i="41"/>
  <c r="C56" i="41"/>
  <c r="B56" i="41"/>
  <c r="G55" i="41"/>
  <c r="F55" i="41"/>
  <c r="E55" i="41"/>
  <c r="D55" i="41"/>
  <c r="C55" i="41"/>
  <c r="B55" i="41"/>
  <c r="G54" i="41"/>
  <c r="F54" i="41"/>
  <c r="E54" i="41"/>
  <c r="D54" i="41"/>
  <c r="C54" i="41"/>
  <c r="B54" i="41"/>
  <c r="G53" i="41"/>
  <c r="F53" i="41"/>
  <c r="E53" i="41"/>
  <c r="D53" i="41"/>
  <c r="C53" i="41"/>
  <c r="B53" i="41"/>
  <c r="G52" i="41"/>
  <c r="F52" i="41"/>
  <c r="E52" i="41"/>
  <c r="D52" i="41"/>
  <c r="C52" i="41"/>
  <c r="B52" i="41"/>
  <c r="G51" i="41"/>
  <c r="F51" i="41"/>
  <c r="E51" i="41"/>
  <c r="D51" i="41"/>
  <c r="C51" i="41"/>
  <c r="B51" i="41"/>
  <c r="G50" i="41"/>
  <c r="F50" i="41"/>
  <c r="E50" i="41"/>
  <c r="D50" i="41"/>
  <c r="C50" i="41"/>
  <c r="B50" i="41"/>
  <c r="G49" i="41"/>
  <c r="F49" i="41"/>
  <c r="E49" i="41"/>
  <c r="D49" i="41"/>
  <c r="C49" i="41"/>
  <c r="B49" i="41"/>
  <c r="G48" i="41"/>
  <c r="F48" i="41"/>
  <c r="E48" i="41"/>
  <c r="D48" i="41"/>
  <c r="C48" i="41"/>
  <c r="B48" i="41"/>
  <c r="G47" i="41"/>
  <c r="F47" i="41"/>
  <c r="E47" i="41"/>
  <c r="D47" i="41"/>
  <c r="C47" i="41"/>
  <c r="B47" i="41"/>
  <c r="G46" i="41"/>
  <c r="F46" i="41"/>
  <c r="E46" i="41"/>
  <c r="D46" i="41"/>
  <c r="C46" i="41"/>
  <c r="B46" i="41"/>
  <c r="F62" i="40"/>
  <c r="E62" i="40"/>
  <c r="D62" i="40"/>
  <c r="C62" i="40"/>
  <c r="B62" i="40"/>
  <c r="G61" i="40"/>
  <c r="F61" i="40"/>
  <c r="E61" i="40"/>
  <c r="D61" i="40"/>
  <c r="C61" i="40"/>
  <c r="B61" i="40"/>
  <c r="G60" i="40"/>
  <c r="F60" i="40"/>
  <c r="E60" i="40"/>
  <c r="D60" i="40"/>
  <c r="C60" i="40"/>
  <c r="B60" i="40"/>
  <c r="G59" i="40"/>
  <c r="F59" i="40"/>
  <c r="E59" i="40"/>
  <c r="D59" i="40"/>
  <c r="C59" i="40"/>
  <c r="B59" i="40"/>
  <c r="G58" i="40"/>
  <c r="F58" i="40"/>
  <c r="E58" i="40"/>
  <c r="D58" i="40"/>
  <c r="C58" i="40"/>
  <c r="B58" i="40"/>
  <c r="G57" i="40"/>
  <c r="F57" i="40"/>
  <c r="E57" i="40"/>
  <c r="D57" i="40"/>
  <c r="C57" i="40"/>
  <c r="B57" i="40"/>
  <c r="G56" i="40"/>
  <c r="F56" i="40"/>
  <c r="E56" i="40"/>
  <c r="D56" i="40"/>
  <c r="C56" i="40"/>
  <c r="B56" i="40"/>
  <c r="G55" i="40"/>
  <c r="F55" i="40"/>
  <c r="E55" i="40"/>
  <c r="D55" i="40"/>
  <c r="C55" i="40"/>
  <c r="B55" i="40"/>
  <c r="G54" i="40"/>
  <c r="F54" i="40"/>
  <c r="E54" i="40"/>
  <c r="D54" i="40"/>
  <c r="C54" i="40"/>
  <c r="B54" i="40"/>
  <c r="G53" i="40"/>
  <c r="F53" i="40"/>
  <c r="E53" i="40"/>
  <c r="D53" i="40"/>
  <c r="C53" i="40"/>
  <c r="B53" i="40"/>
  <c r="G52" i="40"/>
  <c r="F52" i="40"/>
  <c r="E52" i="40"/>
  <c r="D52" i="40"/>
  <c r="C52" i="40"/>
  <c r="B52" i="40"/>
  <c r="G51" i="40"/>
  <c r="F51" i="40"/>
  <c r="E51" i="40"/>
  <c r="D51" i="40"/>
  <c r="C51" i="40"/>
  <c r="B51" i="40"/>
  <c r="G50" i="40"/>
  <c r="F50" i="40"/>
  <c r="E50" i="40"/>
  <c r="D50" i="40"/>
  <c r="C50" i="40"/>
  <c r="B50" i="40"/>
  <c r="G49" i="40"/>
  <c r="F49" i="40"/>
  <c r="E49" i="40"/>
  <c r="D49" i="40"/>
  <c r="C49" i="40"/>
  <c r="B49" i="40"/>
  <c r="G48" i="40"/>
  <c r="F48" i="40"/>
  <c r="E48" i="40"/>
  <c r="D48" i="40"/>
  <c r="C48" i="40"/>
  <c r="B48" i="40"/>
  <c r="G47" i="40"/>
  <c r="F47" i="40"/>
  <c r="E47" i="40"/>
  <c r="D47" i="40"/>
  <c r="C47" i="40"/>
  <c r="B47" i="40"/>
  <c r="G46" i="40"/>
  <c r="F46" i="40"/>
  <c r="E46" i="40"/>
  <c r="D46" i="40"/>
  <c r="C46" i="40"/>
  <c r="B46" i="40"/>
  <c r="F62" i="39"/>
  <c r="E62" i="39"/>
  <c r="D62" i="39"/>
  <c r="C62" i="39"/>
  <c r="B62" i="39"/>
  <c r="G61" i="39"/>
  <c r="F61" i="39"/>
  <c r="E61" i="39"/>
  <c r="D61" i="39"/>
  <c r="C61" i="39"/>
  <c r="B61" i="39"/>
  <c r="G60" i="39"/>
  <c r="F60" i="39"/>
  <c r="E60" i="39"/>
  <c r="D60" i="39"/>
  <c r="C60" i="39"/>
  <c r="B60" i="39"/>
  <c r="G59" i="39"/>
  <c r="F59" i="39"/>
  <c r="E59" i="39"/>
  <c r="D59" i="39"/>
  <c r="C59" i="39"/>
  <c r="B59" i="39"/>
  <c r="G58" i="39"/>
  <c r="F58" i="39"/>
  <c r="E58" i="39"/>
  <c r="D58" i="39"/>
  <c r="C58" i="39"/>
  <c r="B58" i="39"/>
  <c r="G57" i="39"/>
  <c r="F57" i="39"/>
  <c r="E57" i="39"/>
  <c r="D57" i="39"/>
  <c r="C57" i="39"/>
  <c r="B57" i="39"/>
  <c r="G56" i="39"/>
  <c r="F56" i="39"/>
  <c r="E56" i="39"/>
  <c r="D56" i="39"/>
  <c r="C56" i="39"/>
  <c r="B56" i="39"/>
  <c r="G55" i="39"/>
  <c r="F55" i="39"/>
  <c r="E55" i="39"/>
  <c r="D55" i="39"/>
  <c r="C55" i="39"/>
  <c r="B55" i="39"/>
  <c r="G54" i="39"/>
  <c r="F54" i="39"/>
  <c r="E54" i="39"/>
  <c r="D54" i="39"/>
  <c r="C54" i="39"/>
  <c r="B54" i="39"/>
  <c r="G53" i="39"/>
  <c r="F53" i="39"/>
  <c r="E53" i="39"/>
  <c r="D53" i="39"/>
  <c r="C53" i="39"/>
  <c r="B53" i="39"/>
  <c r="G52" i="39"/>
  <c r="F52" i="39"/>
  <c r="E52" i="39"/>
  <c r="D52" i="39"/>
  <c r="C52" i="39"/>
  <c r="B52" i="39"/>
  <c r="G51" i="39"/>
  <c r="F51" i="39"/>
  <c r="E51" i="39"/>
  <c r="D51" i="39"/>
  <c r="C51" i="39"/>
  <c r="B51" i="39"/>
  <c r="G50" i="39"/>
  <c r="F50" i="39"/>
  <c r="E50" i="39"/>
  <c r="D50" i="39"/>
  <c r="C50" i="39"/>
  <c r="B50" i="39"/>
  <c r="G49" i="39"/>
  <c r="F49" i="39"/>
  <c r="E49" i="39"/>
  <c r="D49" i="39"/>
  <c r="C49" i="39"/>
  <c r="B49" i="39"/>
  <c r="G48" i="39"/>
  <c r="F48" i="39"/>
  <c r="E48" i="39"/>
  <c r="D48" i="39"/>
  <c r="C48" i="39"/>
  <c r="B48" i="39"/>
  <c r="G47" i="39"/>
  <c r="F47" i="39"/>
  <c r="E47" i="39"/>
  <c r="D47" i="39"/>
  <c r="C47" i="39"/>
  <c r="B47" i="39"/>
  <c r="G46" i="39"/>
  <c r="F46" i="39"/>
  <c r="E46" i="39"/>
  <c r="D46" i="39"/>
  <c r="C46" i="39"/>
  <c r="B46" i="39"/>
  <c r="B46" i="38"/>
  <c r="F62" i="38"/>
  <c r="E62" i="38"/>
  <c r="D62" i="38"/>
  <c r="C62" i="38"/>
  <c r="B62" i="38"/>
  <c r="G61" i="38"/>
  <c r="F61" i="38"/>
  <c r="E61" i="38"/>
  <c r="D61" i="38"/>
  <c r="C61" i="38"/>
  <c r="B61" i="38"/>
  <c r="G60" i="38"/>
  <c r="F60" i="38"/>
  <c r="E60" i="38"/>
  <c r="D60" i="38"/>
  <c r="C60" i="38"/>
  <c r="B60" i="38"/>
  <c r="G59" i="38"/>
  <c r="F59" i="38"/>
  <c r="E59" i="38"/>
  <c r="D59" i="38"/>
  <c r="C59" i="38"/>
  <c r="B59" i="38"/>
  <c r="G58" i="38"/>
  <c r="F58" i="38"/>
  <c r="E58" i="38"/>
  <c r="D58" i="38"/>
  <c r="C58" i="38"/>
  <c r="B58" i="38"/>
  <c r="G57" i="38"/>
  <c r="F57" i="38"/>
  <c r="E57" i="38"/>
  <c r="D57" i="38"/>
  <c r="C57" i="38"/>
  <c r="B57" i="38"/>
  <c r="G56" i="38"/>
  <c r="F56" i="38"/>
  <c r="E56" i="38"/>
  <c r="D56" i="38"/>
  <c r="C56" i="38"/>
  <c r="B56" i="38"/>
  <c r="G55" i="38"/>
  <c r="F55" i="38"/>
  <c r="E55" i="38"/>
  <c r="D55" i="38"/>
  <c r="C55" i="38"/>
  <c r="B55" i="38"/>
  <c r="G54" i="38"/>
  <c r="F54" i="38"/>
  <c r="E54" i="38"/>
  <c r="D54" i="38"/>
  <c r="C54" i="38"/>
  <c r="B54" i="38"/>
  <c r="G53" i="38"/>
  <c r="F53" i="38"/>
  <c r="E53" i="38"/>
  <c r="D53" i="38"/>
  <c r="C53" i="38"/>
  <c r="B53" i="38"/>
  <c r="G52" i="38"/>
  <c r="F52" i="38"/>
  <c r="E52" i="38"/>
  <c r="D52" i="38"/>
  <c r="C52" i="38"/>
  <c r="B52" i="38"/>
  <c r="G51" i="38"/>
  <c r="F51" i="38"/>
  <c r="E51" i="38"/>
  <c r="D51" i="38"/>
  <c r="C51" i="38"/>
  <c r="B51" i="38"/>
  <c r="G50" i="38"/>
  <c r="F50" i="38"/>
  <c r="E50" i="38"/>
  <c r="D50" i="38"/>
  <c r="C50" i="38"/>
  <c r="B50" i="38"/>
  <c r="G49" i="38"/>
  <c r="F49" i="38"/>
  <c r="E49" i="38"/>
  <c r="D49" i="38"/>
  <c r="C49" i="38"/>
  <c r="B49" i="38"/>
  <c r="G48" i="38"/>
  <c r="F48" i="38"/>
  <c r="E48" i="38"/>
  <c r="D48" i="38"/>
  <c r="C48" i="38"/>
  <c r="B48" i="38"/>
  <c r="G47" i="38"/>
  <c r="F47" i="38"/>
  <c r="E47" i="38"/>
  <c r="D47" i="38"/>
  <c r="C47" i="38"/>
  <c r="B47" i="38"/>
  <c r="G46" i="38"/>
  <c r="F46" i="38"/>
  <c r="E46" i="38"/>
  <c r="D46" i="38"/>
  <c r="C46" i="38"/>
  <c r="B46" i="37"/>
  <c r="F62" i="37"/>
  <c r="E62" i="37"/>
  <c r="D62" i="37"/>
  <c r="C62" i="37"/>
  <c r="B62" i="37"/>
  <c r="G61" i="37"/>
  <c r="F61" i="37"/>
  <c r="E61" i="37"/>
  <c r="D61" i="37"/>
  <c r="C61" i="37"/>
  <c r="B61" i="37"/>
  <c r="G60" i="37"/>
  <c r="F60" i="37"/>
  <c r="E60" i="37"/>
  <c r="D60" i="37"/>
  <c r="C60" i="37"/>
  <c r="B60" i="37"/>
  <c r="G59" i="37"/>
  <c r="F59" i="37"/>
  <c r="E59" i="37"/>
  <c r="D59" i="37"/>
  <c r="C59" i="37"/>
  <c r="B59" i="37"/>
  <c r="G58" i="37"/>
  <c r="F58" i="37"/>
  <c r="E58" i="37"/>
  <c r="D58" i="37"/>
  <c r="C58" i="37"/>
  <c r="B58" i="37"/>
  <c r="G57" i="37"/>
  <c r="F57" i="37"/>
  <c r="E57" i="37"/>
  <c r="D57" i="37"/>
  <c r="C57" i="37"/>
  <c r="B57" i="37"/>
  <c r="G56" i="37"/>
  <c r="F56" i="37"/>
  <c r="E56" i="37"/>
  <c r="D56" i="37"/>
  <c r="C56" i="37"/>
  <c r="B56" i="37"/>
  <c r="G55" i="37"/>
  <c r="F55" i="37"/>
  <c r="E55" i="37"/>
  <c r="D55" i="37"/>
  <c r="C55" i="37"/>
  <c r="B55" i="37"/>
  <c r="G54" i="37"/>
  <c r="F54" i="37"/>
  <c r="E54" i="37"/>
  <c r="D54" i="37"/>
  <c r="C54" i="37"/>
  <c r="B54" i="37"/>
  <c r="G53" i="37"/>
  <c r="F53" i="37"/>
  <c r="E53" i="37"/>
  <c r="D53" i="37"/>
  <c r="C53" i="37"/>
  <c r="B53" i="37"/>
  <c r="G52" i="37"/>
  <c r="F52" i="37"/>
  <c r="E52" i="37"/>
  <c r="D52" i="37"/>
  <c r="C52" i="37"/>
  <c r="B52" i="37"/>
  <c r="G51" i="37"/>
  <c r="F51" i="37"/>
  <c r="E51" i="37"/>
  <c r="D51" i="37"/>
  <c r="C51" i="37"/>
  <c r="B51" i="37"/>
  <c r="G50" i="37"/>
  <c r="F50" i="37"/>
  <c r="E50" i="37"/>
  <c r="D50" i="37"/>
  <c r="C50" i="37"/>
  <c r="B50" i="37"/>
  <c r="G49" i="37"/>
  <c r="F49" i="37"/>
  <c r="E49" i="37"/>
  <c r="D49" i="37"/>
  <c r="C49" i="37"/>
  <c r="B49" i="37"/>
  <c r="G48" i="37"/>
  <c r="F48" i="37"/>
  <c r="E48" i="37"/>
  <c r="D48" i="37"/>
  <c r="C48" i="37"/>
  <c r="B48" i="37"/>
  <c r="G47" i="37"/>
  <c r="F47" i="37"/>
  <c r="E47" i="37"/>
  <c r="D47" i="37"/>
  <c r="C47" i="37"/>
  <c r="B47" i="37"/>
  <c r="F46" i="37"/>
  <c r="E46" i="37"/>
  <c r="D46" i="37"/>
  <c r="C46" i="37"/>
  <c r="F27" i="10" l="1"/>
  <c r="F28" i="10"/>
  <c r="F29" i="10"/>
  <c r="F30" i="10"/>
  <c r="F31" i="10"/>
  <c r="F32" i="10"/>
  <c r="F52" i="10" s="1"/>
  <c r="F33" i="10"/>
  <c r="F34" i="10"/>
  <c r="F35" i="10"/>
  <c r="F36" i="10"/>
  <c r="F56" i="10" s="1"/>
  <c r="F37" i="10"/>
  <c r="F38" i="10"/>
  <c r="F39" i="10"/>
  <c r="F40" i="10"/>
  <c r="F60" i="10" s="1"/>
  <c r="F41" i="10"/>
  <c r="E27" i="10"/>
  <c r="E47" i="10" s="1"/>
  <c r="E28" i="10"/>
  <c r="E29" i="10"/>
  <c r="E30" i="10"/>
  <c r="E31" i="10"/>
  <c r="E51" i="10" s="1"/>
  <c r="E32" i="10"/>
  <c r="E33" i="10"/>
  <c r="E34" i="10"/>
  <c r="E35" i="10"/>
  <c r="E55" i="10" s="1"/>
  <c r="E36" i="10"/>
  <c r="E37" i="10"/>
  <c r="E38" i="10"/>
  <c r="E39" i="10"/>
  <c r="E59" i="10" s="1"/>
  <c r="E40" i="10"/>
  <c r="E41" i="10"/>
  <c r="D27" i="10"/>
  <c r="D28" i="10"/>
  <c r="D29" i="10"/>
  <c r="D30" i="10"/>
  <c r="D31" i="10"/>
  <c r="D32" i="10"/>
  <c r="D52" i="10" s="1"/>
  <c r="D33" i="10"/>
  <c r="D34" i="10"/>
  <c r="D54" i="10" s="1"/>
  <c r="D35" i="10"/>
  <c r="D36" i="10"/>
  <c r="D56" i="10" s="1"/>
  <c r="D37" i="10"/>
  <c r="D38" i="10"/>
  <c r="D39" i="10"/>
  <c r="D40" i="10"/>
  <c r="D60" i="10" s="1"/>
  <c r="D41" i="10"/>
  <c r="C27" i="10"/>
  <c r="C28" i="10"/>
  <c r="C48" i="10" s="1"/>
  <c r="C29" i="10"/>
  <c r="C30" i="10"/>
  <c r="C31" i="10"/>
  <c r="C32" i="10"/>
  <c r="C52" i="10" s="1"/>
  <c r="C33" i="10"/>
  <c r="C34" i="10"/>
  <c r="C35" i="10"/>
  <c r="C36" i="10"/>
  <c r="C56" i="10" s="1"/>
  <c r="C37" i="10"/>
  <c r="C38" i="10"/>
  <c r="C39" i="10"/>
  <c r="C40" i="10"/>
  <c r="C60" i="10" s="1"/>
  <c r="C41" i="10"/>
  <c r="B27" i="10"/>
  <c r="B47" i="10" s="1"/>
  <c r="B28" i="10"/>
  <c r="B48" i="10" s="1"/>
  <c r="B29" i="10"/>
  <c r="B49" i="10" s="1"/>
  <c r="B30" i="10"/>
  <c r="B50" i="10" s="1"/>
  <c r="B31" i="10"/>
  <c r="B51" i="10" s="1"/>
  <c r="B32" i="10"/>
  <c r="B52" i="10" s="1"/>
  <c r="B33" i="10"/>
  <c r="B53" i="10" s="1"/>
  <c r="B34" i="10"/>
  <c r="B54" i="10" s="1"/>
  <c r="B35" i="10"/>
  <c r="B55" i="10" s="1"/>
  <c r="B36" i="10"/>
  <c r="B56" i="10" s="1"/>
  <c r="B37" i="10"/>
  <c r="B57" i="10" s="1"/>
  <c r="B38" i="10"/>
  <c r="B58" i="10" s="1"/>
  <c r="B39" i="10"/>
  <c r="B59" i="10" s="1"/>
  <c r="B40" i="10"/>
  <c r="B60" i="10" s="1"/>
  <c r="B41" i="10"/>
  <c r="B61" i="10" s="1"/>
  <c r="E50" i="10" l="1"/>
  <c r="E58" i="10"/>
  <c r="D58" i="10"/>
  <c r="D50" i="10"/>
  <c r="D48" i="10"/>
  <c r="E54" i="10"/>
  <c r="C58" i="10"/>
  <c r="C54" i="10"/>
  <c r="C50" i="10"/>
  <c r="F48" i="10"/>
  <c r="E61" i="10"/>
  <c r="E49" i="10"/>
  <c r="D61" i="10"/>
  <c r="D57" i="10"/>
  <c r="D53" i="10"/>
  <c r="D49" i="10"/>
  <c r="E60" i="10"/>
  <c r="E56" i="10"/>
  <c r="E52" i="10"/>
  <c r="E48" i="10"/>
  <c r="E57" i="10"/>
  <c r="E53" i="10"/>
  <c r="C61" i="10"/>
  <c r="C57" i="10"/>
  <c r="C53" i="10"/>
  <c r="C49" i="10"/>
  <c r="D55" i="10"/>
  <c r="F61" i="10"/>
  <c r="F59" i="10"/>
  <c r="F58" i="10"/>
  <c r="F57" i="10"/>
  <c r="F55" i="10"/>
  <c r="F54" i="10"/>
  <c r="F53" i="10"/>
  <c r="F51" i="10"/>
  <c r="F50" i="10"/>
  <c r="F49" i="10"/>
  <c r="F47" i="10"/>
  <c r="D51" i="10"/>
  <c r="D59" i="10"/>
  <c r="D47" i="10"/>
  <c r="C59" i="10"/>
  <c r="C55" i="10"/>
  <c r="C51" i="10"/>
  <c r="C47" i="10"/>
  <c r="Z27" i="36"/>
  <c r="Z40" i="36"/>
  <c r="Z41" i="36"/>
  <c r="Z42" i="36"/>
  <c r="Z26" i="36"/>
  <c r="Z6" i="36"/>
  <c r="Z7" i="36"/>
  <c r="Z8" i="36"/>
  <c r="Z20" i="36"/>
  <c r="Z21" i="36"/>
  <c r="Z5" i="36"/>
  <c r="W38" i="36"/>
  <c r="W39" i="36"/>
  <c r="W40" i="36"/>
  <c r="W41" i="36"/>
  <c r="W42" i="36"/>
  <c r="W26" i="36"/>
  <c r="W6" i="36"/>
  <c r="W7" i="36"/>
  <c r="W8" i="36"/>
  <c r="W20" i="36"/>
  <c r="W21" i="36"/>
  <c r="W5" i="36"/>
  <c r="J38" i="36"/>
  <c r="J39" i="36"/>
  <c r="J40" i="36"/>
  <c r="J41" i="36"/>
  <c r="J42" i="36"/>
  <c r="J26" i="36"/>
  <c r="J6" i="36"/>
  <c r="J7" i="36"/>
  <c r="J8" i="36"/>
  <c r="J20" i="36"/>
  <c r="J21" i="36"/>
  <c r="J5" i="36"/>
  <c r="Z41" i="35"/>
  <c r="Z42" i="35"/>
  <c r="Z26" i="35"/>
  <c r="Z6" i="35"/>
  <c r="Z7" i="35"/>
  <c r="Z17" i="35"/>
  <c r="Z18" i="35"/>
  <c r="Z19" i="35"/>
  <c r="Z20" i="35"/>
  <c r="Z21" i="35"/>
  <c r="Z5" i="35"/>
  <c r="W39" i="35"/>
  <c r="W40" i="35"/>
  <c r="W41" i="35"/>
  <c r="W42" i="35"/>
  <c r="W26" i="35"/>
  <c r="W6" i="35"/>
  <c r="W7" i="35"/>
  <c r="W18" i="35"/>
  <c r="W19" i="35"/>
  <c r="AF19" i="35" s="1"/>
  <c r="W20" i="35"/>
  <c r="W21" i="35"/>
  <c r="W5" i="35"/>
  <c r="J41" i="35"/>
  <c r="J42" i="35"/>
  <c r="J26" i="35"/>
  <c r="J6" i="35"/>
  <c r="J7" i="35"/>
  <c r="J18" i="35"/>
  <c r="J19" i="35"/>
  <c r="J20" i="35"/>
  <c r="J21" i="35"/>
  <c r="J5" i="35"/>
  <c r="Z27" i="34"/>
  <c r="Z35" i="34"/>
  <c r="Z36" i="34"/>
  <c r="Z37" i="34"/>
  <c r="Z38" i="34"/>
  <c r="Z39" i="34"/>
  <c r="Z40" i="34"/>
  <c r="Z41" i="34"/>
  <c r="Z42" i="34"/>
  <c r="Z26" i="34"/>
  <c r="Z6" i="34"/>
  <c r="Z7" i="34"/>
  <c r="Z15" i="34"/>
  <c r="Z16" i="34"/>
  <c r="Z17" i="34"/>
  <c r="Z18" i="34"/>
  <c r="Z19" i="34"/>
  <c r="Z20" i="34"/>
  <c r="Z21" i="34"/>
  <c r="Z5" i="34"/>
  <c r="W27" i="34"/>
  <c r="W37" i="34"/>
  <c r="W38" i="34"/>
  <c r="W39" i="34"/>
  <c r="W40" i="34"/>
  <c r="W41" i="34"/>
  <c r="W42" i="34"/>
  <c r="W26" i="34"/>
  <c r="W6" i="34"/>
  <c r="W7" i="34"/>
  <c r="W17" i="34"/>
  <c r="W18" i="34"/>
  <c r="W19" i="34"/>
  <c r="W20" i="34"/>
  <c r="W21" i="34"/>
  <c r="W5" i="34"/>
  <c r="J27" i="34"/>
  <c r="J38" i="34"/>
  <c r="J39" i="34"/>
  <c r="J40" i="34"/>
  <c r="J41" i="34"/>
  <c r="J42" i="34"/>
  <c r="J26" i="34"/>
  <c r="J6" i="34"/>
  <c r="J7" i="34"/>
  <c r="J19" i="34"/>
  <c r="J20" i="34"/>
  <c r="J21" i="34"/>
  <c r="J5" i="34"/>
  <c r="Z39" i="33"/>
  <c r="Z40" i="33"/>
  <c r="Z41" i="33"/>
  <c r="Z42" i="33"/>
  <c r="Z26" i="33"/>
  <c r="Z17" i="33"/>
  <c r="Z18" i="33"/>
  <c r="Z19" i="33"/>
  <c r="Z20" i="33"/>
  <c r="Z21" i="33"/>
  <c r="Z5" i="33"/>
  <c r="W39" i="33"/>
  <c r="W40" i="33"/>
  <c r="W41" i="33"/>
  <c r="W42" i="33"/>
  <c r="W26" i="33"/>
  <c r="W16" i="33"/>
  <c r="W17" i="33"/>
  <c r="W18" i="33"/>
  <c r="W19" i="33"/>
  <c r="W20" i="33"/>
  <c r="AF20" i="33" s="1"/>
  <c r="W21" i="33"/>
  <c r="W5" i="33"/>
  <c r="J38" i="33"/>
  <c r="J39" i="33"/>
  <c r="J40" i="33"/>
  <c r="J41" i="33"/>
  <c r="J42" i="33"/>
  <c r="J26" i="33"/>
  <c r="J18" i="33"/>
  <c r="J19" i="33"/>
  <c r="J20" i="33"/>
  <c r="J21" i="33"/>
  <c r="J5" i="33"/>
  <c r="AF21" i="33" l="1"/>
  <c r="AF41" i="33"/>
  <c r="AF21" i="34"/>
  <c r="AF42" i="34"/>
  <c r="AF38" i="34"/>
  <c r="AG6" i="34"/>
  <c r="AG40" i="34"/>
  <c r="AF26" i="35"/>
  <c r="AG6" i="35"/>
  <c r="AF41" i="34"/>
  <c r="AF42" i="35"/>
  <c r="AF7" i="34"/>
  <c r="AF5" i="35"/>
  <c r="AF18" i="35"/>
  <c r="AF39" i="35"/>
  <c r="AG39" i="35"/>
  <c r="AD39" i="35"/>
  <c r="AC39" i="35"/>
  <c r="AE39" i="35"/>
  <c r="AC5" i="36"/>
  <c r="AD5" i="36"/>
  <c r="AE5" i="36"/>
  <c r="AF5" i="36"/>
  <c r="AG5" i="36"/>
  <c r="AF40" i="33"/>
  <c r="AG16" i="34"/>
  <c r="AD16" i="34"/>
  <c r="AC16" i="34"/>
  <c r="AF16" i="34"/>
  <c r="AE16" i="34"/>
  <c r="AG35" i="34"/>
  <c r="AE35" i="34"/>
  <c r="AF35" i="34"/>
  <c r="AD35" i="34"/>
  <c r="AC35" i="34"/>
  <c r="AC20" i="35"/>
  <c r="AE20" i="35"/>
  <c r="AD20" i="35"/>
  <c r="AE6" i="35"/>
  <c r="AD6" i="35"/>
  <c r="AC6" i="35"/>
  <c r="AG5" i="35"/>
  <c r="AG18" i="35"/>
  <c r="AG26" i="35"/>
  <c r="AE21" i="36"/>
  <c r="AD21" i="36"/>
  <c r="AC21" i="36"/>
  <c r="AE6" i="36"/>
  <c r="AD6" i="36"/>
  <c r="AC6" i="36"/>
  <c r="AE40" i="36"/>
  <c r="AD40" i="36"/>
  <c r="AC40" i="36"/>
  <c r="AF21" i="36"/>
  <c r="AF6" i="36"/>
  <c r="AF40" i="36"/>
  <c r="AG21" i="36"/>
  <c r="AG6" i="36"/>
  <c r="AG40" i="36"/>
  <c r="AD5" i="33"/>
  <c r="AE5" i="33"/>
  <c r="AC5" i="33"/>
  <c r="AE18" i="33"/>
  <c r="AD18" i="33"/>
  <c r="AC18" i="33"/>
  <c r="AD40" i="33"/>
  <c r="AC40" i="33"/>
  <c r="AE40" i="33"/>
  <c r="AF17" i="33"/>
  <c r="AD17" i="33"/>
  <c r="AC17" i="33"/>
  <c r="AE17" i="33"/>
  <c r="AG21" i="33"/>
  <c r="AG40" i="33"/>
  <c r="AC26" i="34"/>
  <c r="AE26" i="34"/>
  <c r="AD26" i="34"/>
  <c r="AG21" i="34"/>
  <c r="AE21" i="35"/>
  <c r="AD21" i="35"/>
  <c r="AC21" i="35"/>
  <c r="AD7" i="35"/>
  <c r="AC7" i="35"/>
  <c r="AE7" i="35"/>
  <c r="AE41" i="35"/>
  <c r="AD41" i="35"/>
  <c r="AC41" i="35"/>
  <c r="AE41" i="36"/>
  <c r="AD41" i="36"/>
  <c r="AC41" i="36"/>
  <c r="AF41" i="36"/>
  <c r="AG41" i="36"/>
  <c r="AD21" i="33"/>
  <c r="AE21" i="33"/>
  <c r="AC21" i="33"/>
  <c r="AE26" i="33"/>
  <c r="AD26" i="33"/>
  <c r="AC26" i="33"/>
  <c r="AE39" i="33"/>
  <c r="AC39" i="33"/>
  <c r="AD39" i="33"/>
  <c r="AF16" i="33"/>
  <c r="AE16" i="33"/>
  <c r="AG16" i="33"/>
  <c r="AD16" i="33"/>
  <c r="AC16" i="33"/>
  <c r="AG26" i="33"/>
  <c r="AE19" i="34"/>
  <c r="AD19" i="34"/>
  <c r="AC19" i="34"/>
  <c r="AC42" i="34"/>
  <c r="AE42" i="34"/>
  <c r="AD42" i="34"/>
  <c r="AC38" i="34"/>
  <c r="AE38" i="34"/>
  <c r="AD38" i="34"/>
  <c r="AF20" i="34"/>
  <c r="AG20" i="34"/>
  <c r="AG39" i="34"/>
  <c r="AC20" i="33"/>
  <c r="AE20" i="33"/>
  <c r="AD20" i="33"/>
  <c r="AE42" i="33"/>
  <c r="AD42" i="33"/>
  <c r="AC42" i="33"/>
  <c r="AE38" i="33"/>
  <c r="AD38" i="33"/>
  <c r="AC38" i="33"/>
  <c r="AF38" i="33"/>
  <c r="AG38" i="33"/>
  <c r="AF19" i="33"/>
  <c r="AF26" i="33"/>
  <c r="AF39" i="33"/>
  <c r="AG19" i="33"/>
  <c r="AG42" i="33"/>
  <c r="AC5" i="34"/>
  <c r="AE5" i="34"/>
  <c r="AD5" i="34"/>
  <c r="AE7" i="34"/>
  <c r="AD7" i="34"/>
  <c r="AC7" i="34"/>
  <c r="AD41" i="34"/>
  <c r="AC41" i="34"/>
  <c r="AE41" i="34"/>
  <c r="AE27" i="34"/>
  <c r="AD27" i="34"/>
  <c r="AC27" i="34"/>
  <c r="AF19" i="34"/>
  <c r="AF6" i="34"/>
  <c r="AF40" i="34"/>
  <c r="AF27" i="34"/>
  <c r="AG19" i="34"/>
  <c r="AG15" i="34"/>
  <c r="AF15" i="34"/>
  <c r="AC15" i="34"/>
  <c r="AD15" i="34"/>
  <c r="AE15" i="34"/>
  <c r="AG42" i="34"/>
  <c r="AG38" i="34"/>
  <c r="AG27" i="34"/>
  <c r="AD19" i="35"/>
  <c r="AC19" i="35"/>
  <c r="AE19" i="35"/>
  <c r="AE26" i="35"/>
  <c r="AD26" i="35"/>
  <c r="AC26" i="35"/>
  <c r="AF21" i="35"/>
  <c r="AF7" i="35"/>
  <c r="AF41" i="35"/>
  <c r="AG21" i="35"/>
  <c r="AG17" i="35"/>
  <c r="AE17" i="35"/>
  <c r="AD17" i="35"/>
  <c r="AF17" i="35"/>
  <c r="AC17" i="35"/>
  <c r="AG42" i="35"/>
  <c r="AE20" i="36"/>
  <c r="AD20" i="36"/>
  <c r="AC20" i="36"/>
  <c r="AD26" i="36"/>
  <c r="AC26" i="36"/>
  <c r="AE26" i="36"/>
  <c r="AC39" i="36"/>
  <c r="AD39" i="36"/>
  <c r="AE39" i="36"/>
  <c r="AG39" i="36"/>
  <c r="AF20" i="36"/>
  <c r="AF26" i="36"/>
  <c r="AF39" i="36"/>
  <c r="AG20" i="36"/>
  <c r="AG26" i="36"/>
  <c r="AG27" i="36"/>
  <c r="AD27" i="36"/>
  <c r="AF27" i="36"/>
  <c r="AC27" i="36"/>
  <c r="AE27" i="36"/>
  <c r="AG17" i="33"/>
  <c r="AE20" i="34"/>
  <c r="AD20" i="34"/>
  <c r="AC20" i="34"/>
  <c r="AE39" i="34"/>
  <c r="AD39" i="34"/>
  <c r="AC39" i="34"/>
  <c r="AF17" i="34"/>
  <c r="AE17" i="34"/>
  <c r="AD17" i="34"/>
  <c r="AC17" i="34"/>
  <c r="AG17" i="34"/>
  <c r="AG36" i="34"/>
  <c r="AF36" i="34"/>
  <c r="AC36" i="34"/>
  <c r="AE36" i="34"/>
  <c r="AD36" i="34"/>
  <c r="AG19" i="35"/>
  <c r="AE7" i="36"/>
  <c r="AD7" i="36"/>
  <c r="AC7" i="36"/>
  <c r="AF7" i="36"/>
  <c r="AG7" i="36"/>
  <c r="AG20" i="33"/>
  <c r="AG39" i="33"/>
  <c r="AF37" i="34"/>
  <c r="AC37" i="34"/>
  <c r="AD37" i="34"/>
  <c r="AE37" i="34"/>
  <c r="AG26" i="34"/>
  <c r="AD19" i="33"/>
  <c r="AC19" i="33"/>
  <c r="AE19" i="33"/>
  <c r="AC41" i="33"/>
  <c r="AE41" i="33"/>
  <c r="AD41" i="33"/>
  <c r="AF5" i="33"/>
  <c r="AF18" i="33"/>
  <c r="AF42" i="33"/>
  <c r="AG5" i="33"/>
  <c r="AG18" i="33"/>
  <c r="AG41" i="33"/>
  <c r="AD21" i="34"/>
  <c r="AC21" i="34"/>
  <c r="AE21" i="34"/>
  <c r="AE6" i="34"/>
  <c r="AD6" i="34"/>
  <c r="AC6" i="34"/>
  <c r="AE40" i="34"/>
  <c r="AD40" i="34"/>
  <c r="AC40" i="34"/>
  <c r="AF5" i="34"/>
  <c r="AF18" i="34"/>
  <c r="AE18" i="34"/>
  <c r="AD18" i="34"/>
  <c r="AC18" i="34"/>
  <c r="AF26" i="34"/>
  <c r="AF39" i="34"/>
  <c r="AG5" i="34"/>
  <c r="AG18" i="34"/>
  <c r="AG7" i="34"/>
  <c r="AG41" i="34"/>
  <c r="AG37" i="34"/>
  <c r="AE5" i="35"/>
  <c r="AD5" i="35"/>
  <c r="AC5" i="35"/>
  <c r="AE18" i="35"/>
  <c r="AD18" i="35"/>
  <c r="AC18" i="35"/>
  <c r="AE42" i="35"/>
  <c r="AD42" i="35"/>
  <c r="AC42" i="35"/>
  <c r="AF20" i="35"/>
  <c r="AF6" i="35"/>
  <c r="AF40" i="35"/>
  <c r="AC40" i="35"/>
  <c r="AE40" i="35"/>
  <c r="AD40" i="35"/>
  <c r="AG40" i="35"/>
  <c r="AG20" i="35"/>
  <c r="AG7" i="35"/>
  <c r="AG41" i="35"/>
  <c r="AD8" i="36"/>
  <c r="AC8" i="36"/>
  <c r="AE8" i="36"/>
  <c r="AD42" i="36"/>
  <c r="AC42" i="36"/>
  <c r="AE42" i="36"/>
  <c r="AD38" i="36"/>
  <c r="AC38" i="36"/>
  <c r="AE38" i="36"/>
  <c r="AG38" i="36"/>
  <c r="AF8" i="36"/>
  <c r="AF42" i="36"/>
  <c r="AF38" i="36"/>
  <c r="AG8" i="36"/>
  <c r="AG42" i="36"/>
  <c r="X30" i="28"/>
  <c r="X29" i="28"/>
  <c r="X28" i="28"/>
  <c r="X27" i="28"/>
  <c r="X26" i="28"/>
  <c r="X25" i="28"/>
  <c r="X36" i="27"/>
  <c r="X35" i="27"/>
  <c r="X34" i="27"/>
  <c r="X33" i="27"/>
  <c r="X32" i="27"/>
  <c r="X31" i="27"/>
  <c r="X30" i="27"/>
  <c r="X46" i="26"/>
  <c r="X45" i="26"/>
  <c r="X44" i="26"/>
  <c r="X43" i="26"/>
  <c r="X42" i="26"/>
  <c r="X41" i="26"/>
  <c r="X40" i="26"/>
  <c r="X39" i="26"/>
  <c r="X38" i="26"/>
  <c r="X37" i="26"/>
  <c r="X30" i="25"/>
  <c r="C25" i="28"/>
  <c r="D25" i="28"/>
  <c r="E25" i="28"/>
  <c r="F25" i="28"/>
  <c r="G25" i="28"/>
  <c r="H25" i="28"/>
  <c r="I25" i="28"/>
  <c r="J25" i="28"/>
  <c r="K25" i="28"/>
  <c r="L25" i="28"/>
  <c r="M25" i="28"/>
  <c r="N25" i="28"/>
  <c r="O25" i="28"/>
  <c r="P25" i="28"/>
  <c r="Q25" i="28"/>
  <c r="R25" i="28"/>
  <c r="S25" i="28"/>
  <c r="T25" i="28"/>
  <c r="U25" i="28"/>
  <c r="V25" i="28"/>
  <c r="W25" i="28"/>
  <c r="C26" i="28"/>
  <c r="D26" i="28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C27" i="28"/>
  <c r="D27" i="28"/>
  <c r="E27" i="28"/>
  <c r="F27" i="28"/>
  <c r="G27" i="28"/>
  <c r="H27" i="28"/>
  <c r="I27" i="28"/>
  <c r="J27" i="28"/>
  <c r="K27" i="28"/>
  <c r="L27" i="28"/>
  <c r="M27" i="28"/>
  <c r="N27" i="28"/>
  <c r="O27" i="28"/>
  <c r="P27" i="28"/>
  <c r="Q27" i="28"/>
  <c r="R27" i="28"/>
  <c r="S27" i="28"/>
  <c r="T27" i="28"/>
  <c r="U27" i="28"/>
  <c r="V27" i="28"/>
  <c r="W27" i="28"/>
  <c r="C28" i="28"/>
  <c r="D28" i="28"/>
  <c r="E28" i="28"/>
  <c r="F28" i="28"/>
  <c r="G28" i="28"/>
  <c r="H28" i="28"/>
  <c r="I28" i="28"/>
  <c r="J28" i="28"/>
  <c r="K28" i="28"/>
  <c r="L28" i="28"/>
  <c r="M28" i="28"/>
  <c r="N28" i="28"/>
  <c r="O28" i="28"/>
  <c r="P28" i="28"/>
  <c r="Q28" i="28"/>
  <c r="R28" i="28"/>
  <c r="S28" i="28"/>
  <c r="T28" i="28"/>
  <c r="U28" i="28"/>
  <c r="V28" i="28"/>
  <c r="W28" i="28"/>
  <c r="C29" i="28"/>
  <c r="D29" i="28"/>
  <c r="E29" i="28"/>
  <c r="F29" i="28"/>
  <c r="G29" i="28"/>
  <c r="H29" i="28"/>
  <c r="I29" i="28"/>
  <c r="J29" i="28"/>
  <c r="K29" i="28"/>
  <c r="L29" i="28"/>
  <c r="M29" i="28"/>
  <c r="N29" i="28"/>
  <c r="O29" i="28"/>
  <c r="P29" i="28"/>
  <c r="Q29" i="28"/>
  <c r="R29" i="28"/>
  <c r="S29" i="28"/>
  <c r="T29" i="28"/>
  <c r="U29" i="28"/>
  <c r="V29" i="28"/>
  <c r="W29" i="28"/>
  <c r="C30" i="28"/>
  <c r="D30" i="28"/>
  <c r="E30" i="28"/>
  <c r="F30" i="28"/>
  <c r="G30" i="28"/>
  <c r="H30" i="28"/>
  <c r="I30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B30" i="28"/>
  <c r="B29" i="28"/>
  <c r="B28" i="28"/>
  <c r="B27" i="28"/>
  <c r="B26" i="28"/>
  <c r="B25" i="28"/>
  <c r="C30" i="27"/>
  <c r="D30" i="27"/>
  <c r="E30" i="27"/>
  <c r="F30" i="27"/>
  <c r="G30" i="27"/>
  <c r="H30" i="27"/>
  <c r="I30" i="27"/>
  <c r="J30" i="27"/>
  <c r="K30" i="27"/>
  <c r="L30" i="27"/>
  <c r="M30" i="27"/>
  <c r="N30" i="27"/>
  <c r="O30" i="27"/>
  <c r="P30" i="27"/>
  <c r="Q30" i="27"/>
  <c r="R30" i="27"/>
  <c r="S30" i="27"/>
  <c r="T30" i="27"/>
  <c r="U30" i="27"/>
  <c r="V30" i="27"/>
  <c r="W30" i="27"/>
  <c r="C31" i="27"/>
  <c r="D31" i="27"/>
  <c r="E31" i="27"/>
  <c r="F31" i="27"/>
  <c r="G31" i="27"/>
  <c r="H31" i="27"/>
  <c r="I31" i="27"/>
  <c r="J31" i="27"/>
  <c r="K31" i="27"/>
  <c r="L31" i="27"/>
  <c r="M31" i="27"/>
  <c r="N31" i="27"/>
  <c r="O31" i="27"/>
  <c r="P31" i="27"/>
  <c r="Q31" i="27"/>
  <c r="R31" i="27"/>
  <c r="S31" i="27"/>
  <c r="T31" i="27"/>
  <c r="U31" i="27"/>
  <c r="V31" i="27"/>
  <c r="W31" i="27"/>
  <c r="C32" i="27"/>
  <c r="D32" i="27"/>
  <c r="E32" i="27"/>
  <c r="F32" i="27"/>
  <c r="G32" i="27"/>
  <c r="H32" i="27"/>
  <c r="I32" i="27"/>
  <c r="J32" i="27"/>
  <c r="K32" i="27"/>
  <c r="L32" i="27"/>
  <c r="M32" i="27"/>
  <c r="N32" i="27"/>
  <c r="O32" i="27"/>
  <c r="P32" i="27"/>
  <c r="Q32" i="27"/>
  <c r="R32" i="27"/>
  <c r="S32" i="27"/>
  <c r="T32" i="27"/>
  <c r="U32" i="27"/>
  <c r="V32" i="27"/>
  <c r="W32" i="27"/>
  <c r="C33" i="27"/>
  <c r="D33" i="27"/>
  <c r="E33" i="27"/>
  <c r="F33" i="27"/>
  <c r="G33" i="27"/>
  <c r="H33" i="27"/>
  <c r="I33" i="27"/>
  <c r="J33" i="27"/>
  <c r="K33" i="27"/>
  <c r="L33" i="27"/>
  <c r="M33" i="27"/>
  <c r="N33" i="27"/>
  <c r="O33" i="27"/>
  <c r="P33" i="27"/>
  <c r="Q33" i="27"/>
  <c r="R33" i="27"/>
  <c r="S33" i="27"/>
  <c r="T33" i="27"/>
  <c r="U33" i="27"/>
  <c r="V33" i="27"/>
  <c r="W33" i="27"/>
  <c r="C34" i="27"/>
  <c r="D34" i="27"/>
  <c r="E34" i="27"/>
  <c r="F34" i="27"/>
  <c r="G34" i="27"/>
  <c r="H34" i="27"/>
  <c r="I34" i="27"/>
  <c r="J34" i="27"/>
  <c r="K34" i="27"/>
  <c r="L34" i="27"/>
  <c r="M34" i="27"/>
  <c r="N34" i="27"/>
  <c r="O34" i="27"/>
  <c r="P34" i="27"/>
  <c r="Q34" i="27"/>
  <c r="R34" i="27"/>
  <c r="S34" i="27"/>
  <c r="T34" i="27"/>
  <c r="U34" i="27"/>
  <c r="V34" i="27"/>
  <c r="W34" i="27"/>
  <c r="C35" i="27"/>
  <c r="D35" i="27"/>
  <c r="E35" i="27"/>
  <c r="F35" i="27"/>
  <c r="G35" i="27"/>
  <c r="H35" i="27"/>
  <c r="I35" i="27"/>
  <c r="J35" i="27"/>
  <c r="K35" i="27"/>
  <c r="L35" i="27"/>
  <c r="M35" i="27"/>
  <c r="N35" i="27"/>
  <c r="O35" i="27"/>
  <c r="P35" i="27"/>
  <c r="Q35" i="27"/>
  <c r="R35" i="27"/>
  <c r="S35" i="27"/>
  <c r="T35" i="27"/>
  <c r="U35" i="27"/>
  <c r="V35" i="27"/>
  <c r="W35" i="27"/>
  <c r="C36" i="27"/>
  <c r="D36" i="27"/>
  <c r="E36" i="27"/>
  <c r="F36" i="27"/>
  <c r="G36" i="27"/>
  <c r="H36" i="27"/>
  <c r="I36" i="27"/>
  <c r="J36" i="27"/>
  <c r="K36" i="27"/>
  <c r="L36" i="27"/>
  <c r="M36" i="27"/>
  <c r="N36" i="27"/>
  <c r="O36" i="27"/>
  <c r="P36" i="27"/>
  <c r="Q36" i="27"/>
  <c r="R36" i="27"/>
  <c r="S36" i="27"/>
  <c r="T36" i="27"/>
  <c r="U36" i="27"/>
  <c r="V36" i="27"/>
  <c r="W36" i="27"/>
  <c r="B36" i="27"/>
  <c r="B35" i="27"/>
  <c r="B34" i="27"/>
  <c r="B33" i="27"/>
  <c r="B32" i="27"/>
  <c r="B31" i="27"/>
  <c r="B30" i="27"/>
  <c r="C37" i="26"/>
  <c r="D37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Q37" i="26"/>
  <c r="R37" i="26"/>
  <c r="S37" i="26"/>
  <c r="T37" i="26"/>
  <c r="U37" i="26"/>
  <c r="V37" i="26"/>
  <c r="W37" i="26"/>
  <c r="C38" i="26"/>
  <c r="D38" i="26"/>
  <c r="E38" i="26"/>
  <c r="F38" i="26"/>
  <c r="G38" i="26"/>
  <c r="H38" i="26"/>
  <c r="I38" i="26"/>
  <c r="J38" i="26"/>
  <c r="K38" i="26"/>
  <c r="L38" i="26"/>
  <c r="M38" i="26"/>
  <c r="N38" i="26"/>
  <c r="O38" i="26"/>
  <c r="P38" i="26"/>
  <c r="Q38" i="26"/>
  <c r="R38" i="26"/>
  <c r="S38" i="26"/>
  <c r="T38" i="26"/>
  <c r="U38" i="26"/>
  <c r="V38" i="26"/>
  <c r="W38" i="26"/>
  <c r="C39" i="26"/>
  <c r="D39" i="26"/>
  <c r="E39" i="26"/>
  <c r="F39" i="26"/>
  <c r="G39" i="26"/>
  <c r="H39" i="26"/>
  <c r="I39" i="26"/>
  <c r="J39" i="26"/>
  <c r="K39" i="26"/>
  <c r="L39" i="26"/>
  <c r="M39" i="26"/>
  <c r="N39" i="26"/>
  <c r="O39" i="26"/>
  <c r="P39" i="26"/>
  <c r="Q39" i="26"/>
  <c r="R39" i="26"/>
  <c r="S39" i="26"/>
  <c r="T39" i="26"/>
  <c r="U39" i="26"/>
  <c r="V39" i="26"/>
  <c r="W39" i="26"/>
  <c r="C40" i="26"/>
  <c r="D40" i="26"/>
  <c r="E40" i="26"/>
  <c r="F40" i="26"/>
  <c r="G40" i="26"/>
  <c r="H40" i="26"/>
  <c r="I40" i="26"/>
  <c r="J40" i="26"/>
  <c r="K40" i="26"/>
  <c r="L40" i="26"/>
  <c r="M40" i="26"/>
  <c r="N40" i="26"/>
  <c r="O40" i="26"/>
  <c r="P40" i="26"/>
  <c r="Q40" i="26"/>
  <c r="R40" i="26"/>
  <c r="S40" i="26"/>
  <c r="T40" i="26"/>
  <c r="U40" i="26"/>
  <c r="V40" i="26"/>
  <c r="W40" i="26"/>
  <c r="C41" i="26"/>
  <c r="D41" i="26"/>
  <c r="E41" i="26"/>
  <c r="F41" i="26"/>
  <c r="G41" i="26"/>
  <c r="H41" i="26"/>
  <c r="I41" i="26"/>
  <c r="J41" i="26"/>
  <c r="K41" i="26"/>
  <c r="L41" i="26"/>
  <c r="M41" i="26"/>
  <c r="N41" i="26"/>
  <c r="O41" i="26"/>
  <c r="P41" i="26"/>
  <c r="Q41" i="26"/>
  <c r="R41" i="26"/>
  <c r="S41" i="26"/>
  <c r="T41" i="26"/>
  <c r="U41" i="26"/>
  <c r="V41" i="26"/>
  <c r="W41" i="26"/>
  <c r="C42" i="26"/>
  <c r="D42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Q42" i="26"/>
  <c r="R42" i="26"/>
  <c r="S42" i="26"/>
  <c r="T42" i="26"/>
  <c r="U42" i="26"/>
  <c r="V42" i="26"/>
  <c r="W42" i="26"/>
  <c r="C43" i="26"/>
  <c r="D43" i="26"/>
  <c r="E43" i="26"/>
  <c r="F43" i="26"/>
  <c r="G43" i="26"/>
  <c r="H43" i="26"/>
  <c r="I43" i="26"/>
  <c r="J43" i="26"/>
  <c r="K43" i="26"/>
  <c r="L43" i="26"/>
  <c r="M43" i="26"/>
  <c r="N43" i="26"/>
  <c r="O43" i="26"/>
  <c r="P43" i="26"/>
  <c r="Q43" i="26"/>
  <c r="R43" i="26"/>
  <c r="S43" i="26"/>
  <c r="T43" i="26"/>
  <c r="U43" i="26"/>
  <c r="V43" i="26"/>
  <c r="W43" i="26"/>
  <c r="C44" i="26"/>
  <c r="D44" i="26"/>
  <c r="E44" i="26"/>
  <c r="F44" i="26"/>
  <c r="G44" i="26"/>
  <c r="H44" i="26"/>
  <c r="I44" i="26"/>
  <c r="J44" i="26"/>
  <c r="K44" i="26"/>
  <c r="L44" i="26"/>
  <c r="M44" i="26"/>
  <c r="N44" i="26"/>
  <c r="O44" i="26"/>
  <c r="P44" i="26"/>
  <c r="Q44" i="26"/>
  <c r="R44" i="26"/>
  <c r="S44" i="26"/>
  <c r="T44" i="26"/>
  <c r="U44" i="26"/>
  <c r="V44" i="26"/>
  <c r="W44" i="26"/>
  <c r="C45" i="26"/>
  <c r="D45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Q45" i="26"/>
  <c r="R45" i="26"/>
  <c r="S45" i="26"/>
  <c r="T45" i="26"/>
  <c r="U45" i="26"/>
  <c r="V45" i="26"/>
  <c r="W45" i="26"/>
  <c r="C46" i="26"/>
  <c r="D46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Q46" i="26"/>
  <c r="R46" i="26"/>
  <c r="S46" i="26"/>
  <c r="T46" i="26"/>
  <c r="U46" i="26"/>
  <c r="V46" i="26"/>
  <c r="W46" i="26"/>
  <c r="B46" i="26"/>
  <c r="B45" i="26"/>
  <c r="B44" i="26"/>
  <c r="B43" i="26"/>
  <c r="B42" i="26"/>
  <c r="B41" i="26"/>
  <c r="B40" i="26"/>
  <c r="B39" i="26"/>
  <c r="B38" i="26"/>
  <c r="B37" i="26"/>
  <c r="B30" i="25"/>
  <c r="X36" i="25"/>
  <c r="X35" i="25"/>
  <c r="X34" i="25"/>
  <c r="X33" i="25"/>
  <c r="X32" i="25"/>
  <c r="X31" i="25"/>
  <c r="X38" i="7"/>
  <c r="C30" i="25"/>
  <c r="D30" i="25"/>
  <c r="E30" i="25"/>
  <c r="F30" i="25"/>
  <c r="G30" i="25"/>
  <c r="H30" i="25"/>
  <c r="I30" i="25"/>
  <c r="J30" i="25"/>
  <c r="K30" i="25"/>
  <c r="L30" i="25"/>
  <c r="M30" i="25"/>
  <c r="N30" i="25"/>
  <c r="O30" i="25"/>
  <c r="P30" i="25"/>
  <c r="Q30" i="25"/>
  <c r="R30" i="25"/>
  <c r="S30" i="25"/>
  <c r="T30" i="25"/>
  <c r="U30" i="25"/>
  <c r="V30" i="25"/>
  <c r="W30" i="25"/>
  <c r="C31" i="25"/>
  <c r="D31" i="25"/>
  <c r="E31" i="25"/>
  <c r="F31" i="25"/>
  <c r="G31" i="25"/>
  <c r="H31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C32" i="25"/>
  <c r="D32" i="25"/>
  <c r="E32" i="25"/>
  <c r="F32" i="25"/>
  <c r="G32" i="25"/>
  <c r="H32" i="25"/>
  <c r="I32" i="25"/>
  <c r="J32" i="25"/>
  <c r="K32" i="25"/>
  <c r="L32" i="25"/>
  <c r="M32" i="25"/>
  <c r="N32" i="25"/>
  <c r="O32" i="25"/>
  <c r="P32" i="25"/>
  <c r="Q32" i="25"/>
  <c r="R32" i="25"/>
  <c r="S32" i="25"/>
  <c r="T32" i="25"/>
  <c r="U32" i="25"/>
  <c r="V32" i="25"/>
  <c r="W32" i="25"/>
  <c r="C33" i="25"/>
  <c r="D33" i="25"/>
  <c r="E33" i="25"/>
  <c r="F33" i="25"/>
  <c r="G33" i="25"/>
  <c r="H33" i="25"/>
  <c r="I33" i="25"/>
  <c r="J33" i="25"/>
  <c r="K33" i="25"/>
  <c r="L33" i="25"/>
  <c r="M33" i="25"/>
  <c r="N33" i="25"/>
  <c r="O33" i="25"/>
  <c r="P33" i="25"/>
  <c r="Q33" i="25"/>
  <c r="R33" i="25"/>
  <c r="S33" i="25"/>
  <c r="T33" i="25"/>
  <c r="U33" i="25"/>
  <c r="V33" i="25"/>
  <c r="W33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U34" i="25"/>
  <c r="V34" i="25"/>
  <c r="W34" i="25"/>
  <c r="C35" i="25"/>
  <c r="D35" i="25"/>
  <c r="E35" i="25"/>
  <c r="F35" i="25"/>
  <c r="G35" i="25"/>
  <c r="H35" i="25"/>
  <c r="I35" i="25"/>
  <c r="J35" i="25"/>
  <c r="K35" i="25"/>
  <c r="L35" i="25"/>
  <c r="M35" i="25"/>
  <c r="N35" i="25"/>
  <c r="O35" i="25"/>
  <c r="P35" i="25"/>
  <c r="Q35" i="25"/>
  <c r="R35" i="25"/>
  <c r="S35" i="25"/>
  <c r="T35" i="25"/>
  <c r="U35" i="25"/>
  <c r="V35" i="25"/>
  <c r="W35" i="25"/>
  <c r="C36" i="25"/>
  <c r="D36" i="25"/>
  <c r="E36" i="25"/>
  <c r="F36" i="25"/>
  <c r="G36" i="25"/>
  <c r="H36" i="25"/>
  <c r="I36" i="25"/>
  <c r="J36" i="25"/>
  <c r="K36" i="25"/>
  <c r="L36" i="25"/>
  <c r="M36" i="25"/>
  <c r="N36" i="25"/>
  <c r="O36" i="25"/>
  <c r="P36" i="25"/>
  <c r="Q36" i="25"/>
  <c r="R36" i="25"/>
  <c r="S36" i="25"/>
  <c r="T36" i="25"/>
  <c r="U36" i="25"/>
  <c r="V36" i="25"/>
  <c r="W36" i="25"/>
  <c r="B36" i="25"/>
  <c r="B35" i="25"/>
  <c r="B34" i="25"/>
  <c r="B33" i="25"/>
  <c r="B32" i="25"/>
  <c r="B31" i="25"/>
  <c r="B38" i="7"/>
  <c r="Z5" i="25"/>
  <c r="Z6" i="25"/>
  <c r="Z7" i="25"/>
  <c r="Z8" i="25"/>
  <c r="Z9" i="25"/>
  <c r="Z10" i="25"/>
  <c r="Z11" i="25"/>
  <c r="Z12" i="25"/>
  <c r="Z13" i="25"/>
  <c r="Z14" i="25"/>
  <c r="Z15" i="25"/>
  <c r="Z16" i="25"/>
  <c r="Z17" i="25"/>
  <c r="Z18" i="25"/>
  <c r="Z19" i="25"/>
  <c r="Z20" i="25"/>
  <c r="Z21" i="25"/>
  <c r="Z22" i="25"/>
  <c r="Z23" i="25"/>
  <c r="Z24" i="25"/>
  <c r="Z25" i="25"/>
  <c r="Z4" i="25"/>
  <c r="Z5" i="26"/>
  <c r="Z6" i="26"/>
  <c r="Z7" i="26"/>
  <c r="Z8" i="26"/>
  <c r="Z9" i="26"/>
  <c r="Z10" i="26"/>
  <c r="Z11" i="26"/>
  <c r="Z12" i="26"/>
  <c r="Z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4" i="26"/>
  <c r="Z5" i="27"/>
  <c r="Z6" i="27"/>
  <c r="Z7" i="27"/>
  <c r="Z8" i="27"/>
  <c r="Z9" i="27"/>
  <c r="Z10" i="27"/>
  <c r="Z11" i="27"/>
  <c r="Z12" i="27"/>
  <c r="Z13" i="27"/>
  <c r="Z14" i="27"/>
  <c r="Z15" i="27"/>
  <c r="Z16" i="27"/>
  <c r="Z17" i="27"/>
  <c r="Z18" i="27"/>
  <c r="Z19" i="27"/>
  <c r="Z20" i="27"/>
  <c r="Z21" i="27"/>
  <c r="Z22" i="27"/>
  <c r="Z23" i="27"/>
  <c r="Z24" i="27"/>
  <c r="Z25" i="27"/>
  <c r="Z4" i="27"/>
  <c r="Z5" i="28"/>
  <c r="Z6" i="28"/>
  <c r="Z7" i="28"/>
  <c r="Z8" i="28"/>
  <c r="Z9" i="28"/>
  <c r="Z10" i="28"/>
  <c r="Z11" i="28"/>
  <c r="Z12" i="28"/>
  <c r="Z13" i="28"/>
  <c r="Z14" i="28"/>
  <c r="Z15" i="28"/>
  <c r="Z16" i="28"/>
  <c r="Z17" i="28"/>
  <c r="Z18" i="28"/>
  <c r="Z19" i="28"/>
  <c r="Z20" i="28"/>
  <c r="Z4" i="28"/>
  <c r="Z4" i="8"/>
  <c r="D129" i="3" l="1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E128" i="3"/>
  <c r="D128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02" i="3"/>
  <c r="E102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E68" i="3"/>
  <c r="D68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E42" i="3"/>
  <c r="I8" i="3"/>
  <c r="D42" i="3"/>
  <c r="H8" i="3"/>
  <c r="C9" i="20" l="1"/>
  <c r="D13" i="18"/>
  <c r="E9" i="18" l="1"/>
  <c r="E5" i="18"/>
  <c r="E7" i="18"/>
  <c r="E11" i="18"/>
  <c r="E8" i="18"/>
  <c r="E12" i="18"/>
  <c r="E6" i="18"/>
  <c r="E10" i="18"/>
  <c r="D6" i="20"/>
  <c r="D7" i="20"/>
  <c r="D8" i="20"/>
  <c r="D5" i="20"/>
  <c r="E5" i="19"/>
  <c r="X38" i="9"/>
  <c r="X37" i="9"/>
  <c r="X36" i="9"/>
  <c r="X35" i="9"/>
  <c r="X34" i="9"/>
  <c r="X33" i="9"/>
  <c r="X32" i="9"/>
  <c r="X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B38" i="9"/>
  <c r="B37" i="9"/>
  <c r="B36" i="9"/>
  <c r="B35" i="9"/>
  <c r="B34" i="9"/>
  <c r="B33" i="9"/>
  <c r="B32" i="9"/>
  <c r="B31" i="9"/>
  <c r="X56" i="8" l="1"/>
  <c r="X55" i="8"/>
  <c r="X54" i="8"/>
  <c r="X53" i="8"/>
  <c r="X52" i="8"/>
  <c r="X51" i="8"/>
  <c r="X50" i="8"/>
  <c r="X49" i="8"/>
  <c r="X48" i="8"/>
  <c r="X47" i="8"/>
  <c r="X46" i="8"/>
  <c r="X45" i="8"/>
  <c r="X44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C45" i="8"/>
  <c r="D45" i="8"/>
  <c r="E45" i="8"/>
  <c r="F45" i="8"/>
  <c r="G45" i="8"/>
  <c r="H45" i="8"/>
  <c r="I45" i="8"/>
  <c r="J45" i="8"/>
  <c r="K45" i="8"/>
  <c r="L45" i="8"/>
  <c r="M45" i="8"/>
  <c r="N45" i="8"/>
  <c r="O45" i="8"/>
  <c r="P45" i="8"/>
  <c r="Q45" i="8"/>
  <c r="R45" i="8"/>
  <c r="S45" i="8"/>
  <c r="T45" i="8"/>
  <c r="U45" i="8"/>
  <c r="V45" i="8"/>
  <c r="W45" i="8"/>
  <c r="C46" i="8"/>
  <c r="D46" i="8"/>
  <c r="E46" i="8"/>
  <c r="F46" i="8"/>
  <c r="G46" i="8"/>
  <c r="H46" i="8"/>
  <c r="I46" i="8"/>
  <c r="J46" i="8"/>
  <c r="K46" i="8"/>
  <c r="L46" i="8"/>
  <c r="M46" i="8"/>
  <c r="N46" i="8"/>
  <c r="O46" i="8"/>
  <c r="P46" i="8"/>
  <c r="Q46" i="8"/>
  <c r="R46" i="8"/>
  <c r="S46" i="8"/>
  <c r="T46" i="8"/>
  <c r="U46" i="8"/>
  <c r="V46" i="8"/>
  <c r="W46" i="8"/>
  <c r="C47" i="8"/>
  <c r="D47" i="8"/>
  <c r="E47" i="8"/>
  <c r="F47" i="8"/>
  <c r="G47" i="8"/>
  <c r="H47" i="8"/>
  <c r="I47" i="8"/>
  <c r="J47" i="8"/>
  <c r="K47" i="8"/>
  <c r="L47" i="8"/>
  <c r="M47" i="8"/>
  <c r="N47" i="8"/>
  <c r="O47" i="8"/>
  <c r="P47" i="8"/>
  <c r="Q47" i="8"/>
  <c r="R47" i="8"/>
  <c r="S47" i="8"/>
  <c r="T47" i="8"/>
  <c r="U47" i="8"/>
  <c r="V47" i="8"/>
  <c r="W47" i="8"/>
  <c r="C48" i="8"/>
  <c r="D48" i="8"/>
  <c r="E48" i="8"/>
  <c r="F48" i="8"/>
  <c r="H48" i="8"/>
  <c r="I48" i="8"/>
  <c r="J48" i="8"/>
  <c r="K48" i="8"/>
  <c r="L48" i="8"/>
  <c r="M48" i="8"/>
  <c r="N48" i="8"/>
  <c r="O48" i="8"/>
  <c r="P48" i="8"/>
  <c r="Q48" i="8"/>
  <c r="R48" i="8"/>
  <c r="S48" i="8"/>
  <c r="T48" i="8"/>
  <c r="U48" i="8"/>
  <c r="V48" i="8"/>
  <c r="W48" i="8"/>
  <c r="C49" i="8"/>
  <c r="D49" i="8"/>
  <c r="E49" i="8"/>
  <c r="F49" i="8"/>
  <c r="G49" i="8"/>
  <c r="H49" i="8"/>
  <c r="I49" i="8"/>
  <c r="J49" i="8"/>
  <c r="K49" i="8"/>
  <c r="L49" i="8"/>
  <c r="M49" i="8"/>
  <c r="N49" i="8"/>
  <c r="O49" i="8"/>
  <c r="P49" i="8"/>
  <c r="Q49" i="8"/>
  <c r="R49" i="8"/>
  <c r="S49" i="8"/>
  <c r="T49" i="8"/>
  <c r="U49" i="8"/>
  <c r="V49" i="8"/>
  <c r="W49" i="8"/>
  <c r="C50" i="8"/>
  <c r="D50" i="8"/>
  <c r="E50" i="8"/>
  <c r="F50" i="8"/>
  <c r="G50" i="8"/>
  <c r="H50" i="8"/>
  <c r="I50" i="8"/>
  <c r="J50" i="8"/>
  <c r="K50" i="8"/>
  <c r="L50" i="8"/>
  <c r="M50" i="8"/>
  <c r="N50" i="8"/>
  <c r="O50" i="8"/>
  <c r="P50" i="8"/>
  <c r="Q50" i="8"/>
  <c r="R50" i="8"/>
  <c r="S50" i="8"/>
  <c r="T50" i="8"/>
  <c r="U50" i="8"/>
  <c r="V50" i="8"/>
  <c r="W50" i="8"/>
  <c r="C51" i="8"/>
  <c r="D51" i="8"/>
  <c r="E51" i="8"/>
  <c r="F51" i="8"/>
  <c r="G51" i="8"/>
  <c r="H51" i="8"/>
  <c r="I51" i="8"/>
  <c r="J51" i="8"/>
  <c r="K51" i="8"/>
  <c r="L51" i="8"/>
  <c r="M51" i="8"/>
  <c r="N51" i="8"/>
  <c r="O51" i="8"/>
  <c r="P51" i="8"/>
  <c r="Q51" i="8"/>
  <c r="R51" i="8"/>
  <c r="S51" i="8"/>
  <c r="T51" i="8"/>
  <c r="U51" i="8"/>
  <c r="V51" i="8"/>
  <c r="W51" i="8"/>
  <c r="C52" i="8"/>
  <c r="D52" i="8"/>
  <c r="E52" i="8"/>
  <c r="F52" i="8"/>
  <c r="G52" i="8"/>
  <c r="H52" i="8"/>
  <c r="I52" i="8"/>
  <c r="J52" i="8"/>
  <c r="K52" i="8"/>
  <c r="L52" i="8"/>
  <c r="M52" i="8"/>
  <c r="N52" i="8"/>
  <c r="O52" i="8"/>
  <c r="P52" i="8"/>
  <c r="Q52" i="8"/>
  <c r="R52" i="8"/>
  <c r="S52" i="8"/>
  <c r="T52" i="8"/>
  <c r="U52" i="8"/>
  <c r="V52" i="8"/>
  <c r="W52" i="8"/>
  <c r="C53" i="8"/>
  <c r="D53" i="8"/>
  <c r="E53" i="8"/>
  <c r="F53" i="8"/>
  <c r="G53" i="8"/>
  <c r="H53" i="8"/>
  <c r="I53" i="8"/>
  <c r="J53" i="8"/>
  <c r="K53" i="8"/>
  <c r="L53" i="8"/>
  <c r="M53" i="8"/>
  <c r="N53" i="8"/>
  <c r="O53" i="8"/>
  <c r="P53" i="8"/>
  <c r="Q53" i="8"/>
  <c r="R53" i="8"/>
  <c r="S53" i="8"/>
  <c r="T53" i="8"/>
  <c r="U53" i="8"/>
  <c r="V53" i="8"/>
  <c r="W53" i="8"/>
  <c r="C54" i="8"/>
  <c r="D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C55" i="8"/>
  <c r="D55" i="8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T55" i="8"/>
  <c r="U55" i="8"/>
  <c r="V55" i="8"/>
  <c r="W55" i="8"/>
  <c r="C56" i="8"/>
  <c r="D56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T56" i="8"/>
  <c r="U56" i="8"/>
  <c r="V56" i="8"/>
  <c r="W56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X47" i="7"/>
  <c r="X46" i="7"/>
  <c r="X45" i="7"/>
  <c r="X44" i="7"/>
  <c r="X43" i="7"/>
  <c r="X42" i="7"/>
  <c r="X41" i="7"/>
  <c r="X40" i="7"/>
  <c r="X39" i="7"/>
  <c r="X42" i="6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U44" i="7"/>
  <c r="V44" i="7"/>
  <c r="W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U45" i="7"/>
  <c r="V45" i="7"/>
  <c r="W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Q46" i="7"/>
  <c r="R46" i="7"/>
  <c r="S46" i="7"/>
  <c r="T46" i="7"/>
  <c r="U46" i="7"/>
  <c r="V46" i="7"/>
  <c r="W46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Q47" i="7"/>
  <c r="R47" i="7"/>
  <c r="S47" i="7"/>
  <c r="T47" i="7"/>
  <c r="U47" i="7"/>
  <c r="V47" i="7"/>
  <c r="W47" i="7"/>
  <c r="B47" i="7"/>
  <c r="B46" i="7"/>
  <c r="B45" i="7"/>
  <c r="B44" i="7"/>
  <c r="B43" i="7"/>
  <c r="B42" i="7"/>
  <c r="B41" i="7"/>
  <c r="B40" i="7"/>
  <c r="B39" i="7"/>
  <c r="X52" i="6"/>
  <c r="X51" i="6"/>
  <c r="X50" i="6"/>
  <c r="X49" i="6"/>
  <c r="X48" i="6"/>
  <c r="X45" i="6"/>
  <c r="X47" i="6"/>
  <c r="X46" i="6"/>
  <c r="X44" i="6"/>
  <c r="X43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T48" i="6"/>
  <c r="U48" i="6"/>
  <c r="V48" i="6"/>
  <c r="W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T49" i="6"/>
  <c r="U49" i="6"/>
  <c r="V49" i="6"/>
  <c r="W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C52" i="6"/>
  <c r="D52" i="6"/>
  <c r="E52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B52" i="6"/>
  <c r="B51" i="6"/>
  <c r="B50" i="6"/>
  <c r="B49" i="6"/>
  <c r="B48" i="6"/>
  <c r="B47" i="6"/>
  <c r="B46" i="6"/>
  <c r="B45" i="6"/>
  <c r="B44" i="6"/>
  <c r="B43" i="6"/>
  <c r="B42" i="6"/>
  <c r="Z5" i="9"/>
  <c r="Z6" i="9"/>
  <c r="Z7" i="9"/>
  <c r="Z8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4" i="9"/>
  <c r="Z5" i="8"/>
  <c r="Z6" i="8"/>
  <c r="Z7" i="8"/>
  <c r="Z8" i="8"/>
  <c r="Z9" i="8"/>
  <c r="Z10" i="8"/>
  <c r="Z11" i="8"/>
  <c r="Z12" i="8"/>
  <c r="Z13" i="8"/>
  <c r="Z14" i="8"/>
  <c r="Z15" i="8"/>
  <c r="Z16" i="8"/>
  <c r="Z17" i="8"/>
  <c r="Z18" i="8"/>
  <c r="Z19" i="8"/>
  <c r="Z20" i="8"/>
  <c r="Z21" i="8"/>
  <c r="Z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37" i="8"/>
  <c r="Z38" i="8"/>
  <c r="Z39" i="8"/>
  <c r="Z5" i="7"/>
  <c r="Z6" i="7"/>
  <c r="Z7" i="7"/>
  <c r="Z8" i="7"/>
  <c r="Z9" i="7"/>
  <c r="Z10" i="7"/>
  <c r="Z11" i="7"/>
  <c r="Z12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27" i="7"/>
  <c r="Z28" i="7"/>
  <c r="Z29" i="7"/>
  <c r="Z30" i="7"/>
  <c r="Z31" i="7"/>
  <c r="Z32" i="7"/>
  <c r="Z33" i="7"/>
  <c r="Z4" i="7"/>
  <c r="Z5" i="6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4" i="6"/>
  <c r="Z42" i="17"/>
  <c r="Z26" i="17"/>
  <c r="Z20" i="17"/>
  <c r="Z21" i="17"/>
  <c r="Z5" i="17"/>
  <c r="W38" i="17"/>
  <c r="W39" i="17"/>
  <c r="W40" i="17"/>
  <c r="W41" i="17"/>
  <c r="W42" i="17"/>
  <c r="W26" i="17"/>
  <c r="W21" i="17"/>
  <c r="W5" i="17"/>
  <c r="J21" i="17"/>
  <c r="J5" i="17"/>
  <c r="J39" i="17"/>
  <c r="J40" i="17"/>
  <c r="J41" i="17"/>
  <c r="J42" i="17"/>
  <c r="J26" i="17"/>
  <c r="Z33" i="16"/>
  <c r="Z34" i="16"/>
  <c r="Z35" i="16"/>
  <c r="Z36" i="16"/>
  <c r="Z37" i="16"/>
  <c r="Z38" i="16"/>
  <c r="Z39" i="16"/>
  <c r="Z40" i="16"/>
  <c r="Z41" i="16"/>
  <c r="Z42" i="16"/>
  <c r="Z26" i="16"/>
  <c r="Z6" i="16"/>
  <c r="Z7" i="16"/>
  <c r="Z8" i="16"/>
  <c r="Z9" i="16"/>
  <c r="Z10" i="16"/>
  <c r="Z11" i="16"/>
  <c r="Z12" i="16"/>
  <c r="Z19" i="16"/>
  <c r="Z20" i="16"/>
  <c r="Z21" i="16"/>
  <c r="Z5" i="16"/>
  <c r="W32" i="16"/>
  <c r="W33" i="16"/>
  <c r="W34" i="16"/>
  <c r="W35" i="16"/>
  <c r="W36" i="16"/>
  <c r="W37" i="16"/>
  <c r="W38" i="16"/>
  <c r="W39" i="16"/>
  <c r="W40" i="16"/>
  <c r="W41" i="16"/>
  <c r="W42" i="16"/>
  <c r="W6" i="16"/>
  <c r="W7" i="16"/>
  <c r="W8" i="16"/>
  <c r="W9" i="16"/>
  <c r="W10" i="16"/>
  <c r="W11" i="16"/>
  <c r="W12" i="16"/>
  <c r="W13" i="16"/>
  <c r="W14" i="16"/>
  <c r="W19" i="16"/>
  <c r="W20" i="16"/>
  <c r="W21" i="16"/>
  <c r="W26" i="16"/>
  <c r="W5" i="16"/>
  <c r="J34" i="16"/>
  <c r="J35" i="16"/>
  <c r="J36" i="16"/>
  <c r="J37" i="16"/>
  <c r="J38" i="16"/>
  <c r="J39" i="16"/>
  <c r="J40" i="16"/>
  <c r="J41" i="16"/>
  <c r="J42" i="16"/>
  <c r="J26" i="16"/>
  <c r="J6" i="16"/>
  <c r="J7" i="16"/>
  <c r="J8" i="16"/>
  <c r="J9" i="16"/>
  <c r="J10" i="16"/>
  <c r="J11" i="16"/>
  <c r="J12" i="16"/>
  <c r="J13" i="16"/>
  <c r="J14" i="16"/>
  <c r="J19" i="16"/>
  <c r="J20" i="16"/>
  <c r="J21" i="16"/>
  <c r="J5" i="16"/>
  <c r="Z27" i="15"/>
  <c r="Z28" i="15"/>
  <c r="Z29" i="15"/>
  <c r="Z38" i="15"/>
  <c r="Z39" i="15"/>
  <c r="Z40" i="15"/>
  <c r="Z41" i="15"/>
  <c r="Z42" i="15"/>
  <c r="Z26" i="15"/>
  <c r="W27" i="15"/>
  <c r="W28" i="15"/>
  <c r="W29" i="15"/>
  <c r="W41" i="15"/>
  <c r="W42" i="15"/>
  <c r="W26" i="15"/>
  <c r="Z16" i="15"/>
  <c r="Z17" i="15"/>
  <c r="Z18" i="15"/>
  <c r="Z19" i="15"/>
  <c r="Z20" i="15"/>
  <c r="Z21" i="15"/>
  <c r="Z5" i="15"/>
  <c r="W17" i="15"/>
  <c r="W18" i="15"/>
  <c r="W19" i="15"/>
  <c r="W20" i="15"/>
  <c r="W21" i="15"/>
  <c r="W5" i="15"/>
  <c r="J39" i="15"/>
  <c r="J40" i="15"/>
  <c r="J41" i="15"/>
  <c r="J42" i="15"/>
  <c r="J26" i="15"/>
  <c r="J6" i="15"/>
  <c r="J14" i="15"/>
  <c r="J15" i="15"/>
  <c r="J16" i="15"/>
  <c r="J17" i="15"/>
  <c r="J18" i="15"/>
  <c r="J19" i="15"/>
  <c r="J20" i="15"/>
  <c r="J21" i="15"/>
  <c r="J5" i="15"/>
  <c r="Z42" i="14"/>
  <c r="Z27" i="14"/>
  <c r="Z28" i="14"/>
  <c r="Z29" i="14"/>
  <c r="Z32" i="14"/>
  <c r="Z33" i="14"/>
  <c r="Z34" i="14"/>
  <c r="Z35" i="14"/>
  <c r="Z36" i="14"/>
  <c r="Z37" i="14"/>
  <c r="Z38" i="14"/>
  <c r="Z39" i="14"/>
  <c r="Z40" i="14"/>
  <c r="Z41" i="14"/>
  <c r="Z26" i="14"/>
  <c r="Z6" i="14"/>
  <c r="Z7" i="14"/>
  <c r="Z8" i="14"/>
  <c r="Z9" i="14"/>
  <c r="Z10" i="14"/>
  <c r="Z11" i="14"/>
  <c r="Z12" i="14"/>
  <c r="Z13" i="14"/>
  <c r="Z14" i="14"/>
  <c r="Z15" i="14"/>
  <c r="Z16" i="14"/>
  <c r="Z19" i="14"/>
  <c r="Z20" i="14"/>
  <c r="Z21" i="14"/>
  <c r="Z5" i="14"/>
  <c r="W27" i="14"/>
  <c r="W28" i="14"/>
  <c r="W29" i="14"/>
  <c r="W33" i="14"/>
  <c r="W34" i="14"/>
  <c r="W35" i="14"/>
  <c r="W36" i="14"/>
  <c r="W37" i="14"/>
  <c r="W38" i="14"/>
  <c r="W39" i="14"/>
  <c r="W40" i="14"/>
  <c r="W41" i="14"/>
  <c r="W42" i="14"/>
  <c r="W26" i="14"/>
  <c r="W6" i="14"/>
  <c r="W7" i="14"/>
  <c r="W8" i="14"/>
  <c r="W9" i="14"/>
  <c r="W10" i="14"/>
  <c r="W11" i="14"/>
  <c r="W12" i="14"/>
  <c r="W13" i="14"/>
  <c r="W14" i="14"/>
  <c r="W15" i="14"/>
  <c r="W16" i="14"/>
  <c r="W19" i="14"/>
  <c r="W20" i="14"/>
  <c r="W21" i="14"/>
  <c r="W5" i="14"/>
  <c r="J27" i="14"/>
  <c r="J28" i="14"/>
  <c r="J29" i="14"/>
  <c r="J32" i="14"/>
  <c r="J33" i="14"/>
  <c r="J34" i="14"/>
  <c r="J35" i="14"/>
  <c r="J36" i="14"/>
  <c r="J37" i="14"/>
  <c r="J38" i="14"/>
  <c r="J39" i="14"/>
  <c r="J40" i="14"/>
  <c r="J41" i="14"/>
  <c r="J42" i="14"/>
  <c r="J26" i="14"/>
  <c r="J6" i="14"/>
  <c r="J7" i="14"/>
  <c r="J8" i="14"/>
  <c r="J9" i="14"/>
  <c r="J10" i="14"/>
  <c r="J11" i="14"/>
  <c r="J12" i="14"/>
  <c r="J13" i="14"/>
  <c r="J14" i="14"/>
  <c r="J15" i="14"/>
  <c r="J16" i="14"/>
  <c r="J20" i="14"/>
  <c r="J21" i="14"/>
  <c r="J5" i="14"/>
  <c r="AF21" i="15" l="1"/>
  <c r="AF17" i="15"/>
  <c r="AF5" i="17"/>
  <c r="AG27" i="15"/>
  <c r="AF20" i="14"/>
  <c r="AF14" i="14"/>
  <c r="AF10" i="14"/>
  <c r="AF6" i="14"/>
  <c r="AF40" i="14"/>
  <c r="AF36" i="14"/>
  <c r="AF29" i="14"/>
  <c r="AG21" i="14"/>
  <c r="AG15" i="14"/>
  <c r="AG11" i="14"/>
  <c r="AG7" i="14"/>
  <c r="AG32" i="14"/>
  <c r="AF5" i="15"/>
  <c r="AF18" i="15"/>
  <c r="AG20" i="15"/>
  <c r="AG16" i="15"/>
  <c r="AF42" i="17"/>
  <c r="AG26" i="17"/>
  <c r="AF9" i="14"/>
  <c r="AF39" i="14"/>
  <c r="AF26" i="15"/>
  <c r="AG5" i="17"/>
  <c r="AF13" i="14"/>
  <c r="AF26" i="14"/>
  <c r="AF35" i="14"/>
  <c r="AE42" i="14"/>
  <c r="AD42" i="14"/>
  <c r="AC42" i="14"/>
  <c r="AE34" i="14"/>
  <c r="AD34" i="14"/>
  <c r="AC34" i="14"/>
  <c r="AE28" i="14"/>
  <c r="AC28" i="14"/>
  <c r="AD28" i="14"/>
  <c r="AG40" i="14"/>
  <c r="AG38" i="15"/>
  <c r="AE38" i="15"/>
  <c r="AC38" i="15"/>
  <c r="AD38" i="15"/>
  <c r="AF38" i="15"/>
  <c r="AE12" i="14"/>
  <c r="AD12" i="14"/>
  <c r="AC12" i="14"/>
  <c r="AE15" i="15"/>
  <c r="AD15" i="15"/>
  <c r="AF15" i="15"/>
  <c r="AG15" i="15"/>
  <c r="AC15" i="15"/>
  <c r="AG42" i="15"/>
  <c r="AE15" i="14"/>
  <c r="AD15" i="14"/>
  <c r="AC15" i="14"/>
  <c r="AE33" i="14"/>
  <c r="AC33" i="14"/>
  <c r="AD33" i="14"/>
  <c r="AG39" i="14"/>
  <c r="AE5" i="15"/>
  <c r="AD5" i="15"/>
  <c r="AC5" i="15"/>
  <c r="AF28" i="15"/>
  <c r="AE28" i="15"/>
  <c r="AD28" i="15"/>
  <c r="AC28" i="15"/>
  <c r="AE8" i="14"/>
  <c r="AD8" i="14"/>
  <c r="AC8" i="14"/>
  <c r="AG42" i="14"/>
  <c r="AE42" i="15"/>
  <c r="AD42" i="15"/>
  <c r="AC42" i="15"/>
  <c r="AD5" i="14"/>
  <c r="AC5" i="14"/>
  <c r="AE5" i="14"/>
  <c r="AE7" i="14"/>
  <c r="AD7" i="14"/>
  <c r="AC7" i="14"/>
  <c r="AD37" i="14"/>
  <c r="AE37" i="14"/>
  <c r="AC37" i="14"/>
  <c r="AF19" i="14"/>
  <c r="AD19" i="14"/>
  <c r="AC19" i="14"/>
  <c r="AE19" i="14"/>
  <c r="AG20" i="14"/>
  <c r="AG6" i="14"/>
  <c r="AG29" i="14"/>
  <c r="AE14" i="15"/>
  <c r="AF14" i="15"/>
  <c r="AG14" i="15"/>
  <c r="AD14" i="15"/>
  <c r="AC14" i="15"/>
  <c r="AE41" i="15"/>
  <c r="AC41" i="15"/>
  <c r="AD41" i="15"/>
  <c r="AG29" i="15"/>
  <c r="AD21" i="14"/>
  <c r="AC21" i="14"/>
  <c r="AE21" i="14"/>
  <c r="AD14" i="14"/>
  <c r="AC14" i="14"/>
  <c r="AE14" i="14"/>
  <c r="AD10" i="14"/>
  <c r="AC10" i="14"/>
  <c r="AE10" i="14"/>
  <c r="AD6" i="14"/>
  <c r="AC6" i="14"/>
  <c r="AE6" i="14"/>
  <c r="AC40" i="14"/>
  <c r="AE40" i="14"/>
  <c r="AD40" i="14"/>
  <c r="AC36" i="14"/>
  <c r="AD36" i="14"/>
  <c r="AE36" i="14"/>
  <c r="AC32" i="14"/>
  <c r="AD32" i="14"/>
  <c r="AE32" i="14"/>
  <c r="AF32" i="14"/>
  <c r="AF5" i="14"/>
  <c r="AF16" i="14"/>
  <c r="AF12" i="14"/>
  <c r="AF8" i="14"/>
  <c r="AF42" i="14"/>
  <c r="AF38" i="14"/>
  <c r="AF34" i="14"/>
  <c r="AF27" i="14"/>
  <c r="AG19" i="14"/>
  <c r="AG13" i="14"/>
  <c r="AG9" i="14"/>
  <c r="AG26" i="14"/>
  <c r="AG38" i="14"/>
  <c r="AG34" i="14"/>
  <c r="AG28" i="14"/>
  <c r="AE21" i="15"/>
  <c r="AD21" i="15"/>
  <c r="AC21" i="15"/>
  <c r="AE17" i="15"/>
  <c r="AC17" i="15"/>
  <c r="AD17" i="15"/>
  <c r="AE6" i="15"/>
  <c r="AF6" i="15"/>
  <c r="AC6" i="15"/>
  <c r="AD6" i="15"/>
  <c r="AG6" i="15"/>
  <c r="AE40" i="15"/>
  <c r="AC40" i="15"/>
  <c r="AD40" i="15"/>
  <c r="AF40" i="15"/>
  <c r="AF20" i="15"/>
  <c r="AG5" i="15"/>
  <c r="AG18" i="15"/>
  <c r="AF42" i="15"/>
  <c r="AF27" i="15"/>
  <c r="AE27" i="15"/>
  <c r="AC27" i="15"/>
  <c r="AD27" i="15"/>
  <c r="AG40" i="15"/>
  <c r="AG28" i="15"/>
  <c r="AF41" i="16"/>
  <c r="AF37" i="16"/>
  <c r="AG10" i="16"/>
  <c r="AG6" i="16"/>
  <c r="AG40" i="16"/>
  <c r="AG36" i="16"/>
  <c r="AE26" i="17"/>
  <c r="AD26" i="17"/>
  <c r="AC26" i="17"/>
  <c r="AE16" i="14"/>
  <c r="AC16" i="14"/>
  <c r="AD16" i="14"/>
  <c r="AE38" i="14"/>
  <c r="AD38" i="14"/>
  <c r="AC38" i="14"/>
  <c r="AG36" i="14"/>
  <c r="AE19" i="15"/>
  <c r="AC19" i="15"/>
  <c r="AD19" i="15"/>
  <c r="AF29" i="15"/>
  <c r="AE29" i="15"/>
  <c r="AC29" i="15"/>
  <c r="AD29" i="15"/>
  <c r="AE11" i="14"/>
  <c r="AD11" i="14"/>
  <c r="AC11" i="14"/>
  <c r="AD41" i="14"/>
  <c r="AE41" i="14"/>
  <c r="AC41" i="14"/>
  <c r="AC27" i="14"/>
  <c r="AD27" i="14"/>
  <c r="AE27" i="14"/>
  <c r="AF28" i="14"/>
  <c r="AG14" i="14"/>
  <c r="AG10" i="14"/>
  <c r="AG35" i="14"/>
  <c r="AE18" i="15"/>
  <c r="AC18" i="15"/>
  <c r="AD18" i="15"/>
  <c r="AG19" i="15"/>
  <c r="AG41" i="15"/>
  <c r="AE20" i="14"/>
  <c r="AD20" i="14"/>
  <c r="AC20" i="14"/>
  <c r="AD13" i="14"/>
  <c r="AC13" i="14"/>
  <c r="AE13" i="14"/>
  <c r="AD9" i="14"/>
  <c r="AC9" i="14"/>
  <c r="AE9" i="14"/>
  <c r="AD26" i="14"/>
  <c r="AC26" i="14"/>
  <c r="AE26" i="14"/>
  <c r="AD39" i="14"/>
  <c r="AC39" i="14"/>
  <c r="AE39" i="14"/>
  <c r="AD35" i="14"/>
  <c r="AC35" i="14"/>
  <c r="AE35" i="14"/>
  <c r="AE29" i="14"/>
  <c r="AD29" i="14"/>
  <c r="AC29" i="14"/>
  <c r="AF21" i="14"/>
  <c r="AF15" i="14"/>
  <c r="AF11" i="14"/>
  <c r="AF7" i="14"/>
  <c r="AF41" i="14"/>
  <c r="AF37" i="14"/>
  <c r="AF33" i="14"/>
  <c r="AG5" i="14"/>
  <c r="AG16" i="14"/>
  <c r="AG12" i="14"/>
  <c r="AG8" i="14"/>
  <c r="AG41" i="14"/>
  <c r="AG37" i="14"/>
  <c r="AG33" i="14"/>
  <c r="AG27" i="14"/>
  <c r="AE20" i="15"/>
  <c r="AD20" i="15"/>
  <c r="AC20" i="15"/>
  <c r="AE16" i="15"/>
  <c r="AC16" i="15"/>
  <c r="AD16" i="15"/>
  <c r="AF16" i="15"/>
  <c r="AE26" i="15"/>
  <c r="AC26" i="15"/>
  <c r="AD26" i="15"/>
  <c r="AE39" i="15"/>
  <c r="AC39" i="15"/>
  <c r="AD39" i="15"/>
  <c r="AF39" i="15"/>
  <c r="AF19" i="15"/>
  <c r="AG21" i="15"/>
  <c r="AG17" i="15"/>
  <c r="AF41" i="15"/>
  <c r="AG26" i="15"/>
  <c r="AG39" i="15"/>
  <c r="AF5" i="16"/>
  <c r="AD5" i="17"/>
  <c r="AC5" i="17"/>
  <c r="AE5" i="17"/>
  <c r="AF26" i="17"/>
  <c r="AD21" i="17"/>
  <c r="AC21" i="17"/>
  <c r="AE21" i="17"/>
  <c r="AE40" i="17"/>
  <c r="AD40" i="17"/>
  <c r="AG40" i="17"/>
  <c r="AC40" i="17"/>
  <c r="AF41" i="17"/>
  <c r="AG42" i="17"/>
  <c r="AD41" i="17"/>
  <c r="AG41" i="17"/>
  <c r="AC41" i="17"/>
  <c r="AE41" i="17"/>
  <c r="AG38" i="17"/>
  <c r="AC38" i="17"/>
  <c r="AF38" i="17"/>
  <c r="AE38" i="17"/>
  <c r="AD38" i="17"/>
  <c r="AE39" i="17"/>
  <c r="AD39" i="17"/>
  <c r="AG39" i="17"/>
  <c r="AC39" i="17"/>
  <c r="AF21" i="17"/>
  <c r="AF40" i="17"/>
  <c r="AG21" i="17"/>
  <c r="AC42" i="17"/>
  <c r="AE42" i="17"/>
  <c r="AD42" i="17"/>
  <c r="AF39" i="17"/>
  <c r="AE20" i="17"/>
  <c r="AD20" i="17"/>
  <c r="AG20" i="17"/>
  <c r="AC20" i="17"/>
  <c r="AF20" i="17"/>
  <c r="AE20" i="16"/>
  <c r="AD20" i="16"/>
  <c r="AC20" i="16"/>
  <c r="AD42" i="16"/>
  <c r="AE42" i="16"/>
  <c r="AC42" i="16"/>
  <c r="AF20" i="16"/>
  <c r="AG20" i="16"/>
  <c r="AC19" i="16"/>
  <c r="AE19" i="16"/>
  <c r="AD19" i="16"/>
  <c r="AC11" i="16"/>
  <c r="AE11" i="16"/>
  <c r="AD11" i="16"/>
  <c r="AC7" i="16"/>
  <c r="AE7" i="16"/>
  <c r="AD7" i="16"/>
  <c r="AC41" i="16"/>
  <c r="AE41" i="16"/>
  <c r="AD41" i="16"/>
  <c r="AC37" i="16"/>
  <c r="AE37" i="16"/>
  <c r="AD37" i="16"/>
  <c r="AF19" i="16"/>
  <c r="AF11" i="16"/>
  <c r="AF7" i="16"/>
  <c r="AF40" i="16"/>
  <c r="AF36" i="16"/>
  <c r="AF32" i="16"/>
  <c r="AE32" i="16"/>
  <c r="AD32" i="16"/>
  <c r="AG32" i="16"/>
  <c r="AC32" i="16"/>
  <c r="AG19" i="16"/>
  <c r="AG9" i="16"/>
  <c r="AG26" i="16"/>
  <c r="AG39" i="16"/>
  <c r="AG35" i="16"/>
  <c r="AE5" i="16"/>
  <c r="AC5" i="16"/>
  <c r="AD5" i="16"/>
  <c r="AD14" i="16"/>
  <c r="AC14" i="16"/>
  <c r="AE14" i="16"/>
  <c r="AG14" i="16"/>
  <c r="AD10" i="16"/>
  <c r="AC10" i="16"/>
  <c r="AE10" i="16"/>
  <c r="AD6" i="16"/>
  <c r="AC6" i="16"/>
  <c r="AE6" i="16"/>
  <c r="AD40" i="16"/>
  <c r="AC40" i="16"/>
  <c r="AE40" i="16"/>
  <c r="AD36" i="16"/>
  <c r="AC36" i="16"/>
  <c r="AE36" i="16"/>
  <c r="AF26" i="16"/>
  <c r="AF14" i="16"/>
  <c r="AF10" i="16"/>
  <c r="AF6" i="16"/>
  <c r="AF39" i="16"/>
  <c r="AF35" i="16"/>
  <c r="AG5" i="16"/>
  <c r="AG12" i="16"/>
  <c r="AG8" i="16"/>
  <c r="AG42" i="16"/>
  <c r="AG38" i="16"/>
  <c r="AG34" i="16"/>
  <c r="AE12" i="16"/>
  <c r="AD12" i="16"/>
  <c r="AC12" i="16"/>
  <c r="AD8" i="16"/>
  <c r="AE8" i="16"/>
  <c r="AC8" i="16"/>
  <c r="AD38" i="16"/>
  <c r="AE38" i="16"/>
  <c r="AC38" i="16"/>
  <c r="AD34" i="16"/>
  <c r="AE34" i="16"/>
  <c r="AC34" i="16"/>
  <c r="AF12" i="16"/>
  <c r="AF8" i="16"/>
  <c r="AE33" i="16"/>
  <c r="AF33" i="16"/>
  <c r="AD33" i="16"/>
  <c r="AC33" i="16"/>
  <c r="AE21" i="16"/>
  <c r="AC21" i="16"/>
  <c r="AD21" i="16"/>
  <c r="AE13" i="16"/>
  <c r="AD13" i="16"/>
  <c r="AC13" i="16"/>
  <c r="AG13" i="16"/>
  <c r="AE9" i="16"/>
  <c r="AD9" i="16"/>
  <c r="AC9" i="16"/>
  <c r="AD26" i="16"/>
  <c r="AE26" i="16"/>
  <c r="AC26" i="16"/>
  <c r="AE39" i="16"/>
  <c r="AC39" i="16"/>
  <c r="AD39" i="16"/>
  <c r="AE35" i="16"/>
  <c r="AC35" i="16"/>
  <c r="AD35" i="16"/>
  <c r="AF21" i="16"/>
  <c r="AF13" i="16"/>
  <c r="AF9" i="16"/>
  <c r="AF42" i="16"/>
  <c r="AF38" i="16"/>
  <c r="AF34" i="16"/>
  <c r="AG21" i="16"/>
  <c r="AG11" i="16"/>
  <c r="AG7" i="16"/>
  <c r="AG41" i="16"/>
  <c r="AG37" i="16"/>
  <c r="AG33" i="16"/>
  <c r="C26" i="10" l="1"/>
  <c r="D26" i="10"/>
  <c r="E26" i="10"/>
  <c r="F26" i="10"/>
  <c r="C42" i="10"/>
  <c r="D42" i="10"/>
  <c r="E42" i="10"/>
  <c r="F42" i="10"/>
  <c r="B42" i="10"/>
  <c r="B26" i="10"/>
  <c r="G46" i="10" l="1"/>
  <c r="F46" i="10"/>
  <c r="E62" i="10"/>
  <c r="E46" i="10"/>
  <c r="G56" i="10"/>
  <c r="G60" i="10"/>
  <c r="G48" i="10"/>
  <c r="F62" i="10"/>
  <c r="G52" i="10"/>
  <c r="G61" i="10"/>
  <c r="G59" i="10"/>
  <c r="G58" i="10"/>
  <c r="G57" i="10"/>
  <c r="G55" i="10"/>
  <c r="G54" i="10"/>
  <c r="G53" i="10"/>
  <c r="G51" i="10"/>
  <c r="G50" i="10"/>
  <c r="G49" i="10"/>
  <c r="G47" i="10"/>
  <c r="B46" i="10"/>
  <c r="D62" i="10"/>
  <c r="D46" i="10"/>
  <c r="B62" i="10"/>
  <c r="C62" i="10"/>
  <c r="C46" i="10"/>
  <c r="F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I42" i="4"/>
  <c r="I43" i="4"/>
  <c r="I44" i="4"/>
  <c r="I45" i="4"/>
  <c r="I46" i="4"/>
  <c r="I47" i="4"/>
  <c r="I48" i="4"/>
  <c r="I49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8" i="4"/>
  <c r="H42" i="4"/>
  <c r="H43" i="4"/>
  <c r="H44" i="4"/>
  <c r="H45" i="4"/>
  <c r="H46" i="4"/>
  <c r="H47" i="4"/>
  <c r="H48" i="4"/>
  <c r="H49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8" i="4"/>
  <c r="H8" i="5"/>
  <c r="I8" i="5"/>
  <c r="H9" i="5"/>
  <c r="H10" i="5"/>
  <c r="H11" i="5"/>
  <c r="H12" i="5"/>
  <c r="H13" i="5"/>
  <c r="H14" i="5"/>
  <c r="H15" i="5"/>
  <c r="H16" i="5"/>
  <c r="H17" i="5"/>
  <c r="H18" i="5"/>
  <c r="H19" i="5"/>
  <c r="H22" i="5"/>
  <c r="H23" i="5"/>
  <c r="H24" i="5"/>
  <c r="H25" i="5"/>
  <c r="H26" i="5"/>
  <c r="H27" i="5"/>
  <c r="H28" i="5"/>
  <c r="H29" i="5"/>
  <c r="H30" i="5"/>
  <c r="H31" i="5"/>
  <c r="F9" i="5"/>
  <c r="F10" i="5"/>
  <c r="F11" i="5"/>
  <c r="F12" i="5"/>
  <c r="F13" i="5"/>
  <c r="F14" i="5"/>
  <c r="F15" i="5"/>
  <c r="F16" i="5"/>
  <c r="F17" i="5"/>
  <c r="F18" i="5"/>
  <c r="F19" i="5"/>
  <c r="F22" i="5"/>
  <c r="F23" i="5"/>
  <c r="F24" i="5"/>
  <c r="F25" i="5"/>
  <c r="F26" i="5"/>
  <c r="F27" i="5"/>
  <c r="F28" i="5"/>
  <c r="F29" i="5"/>
  <c r="F30" i="5"/>
  <c r="F31" i="5"/>
  <c r="F8" i="5"/>
  <c r="F41" i="4"/>
  <c r="F42" i="4"/>
  <c r="F43" i="4"/>
  <c r="F44" i="4"/>
  <c r="F45" i="4"/>
  <c r="F46" i="4"/>
  <c r="F47" i="4"/>
  <c r="F48" i="4"/>
  <c r="F49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8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8" i="3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6" i="2"/>
  <c r="F27" i="2"/>
  <c r="F28" i="2"/>
  <c r="F29" i="2"/>
  <c r="F30" i="2"/>
  <c r="F31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35" i="2"/>
  <c r="H32" i="2"/>
  <c r="H33" i="2"/>
  <c r="H34" i="2"/>
  <c r="H9" i="2"/>
  <c r="H10" i="2"/>
  <c r="H11" i="2"/>
  <c r="H12" i="2"/>
  <c r="H13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8" i="2"/>
</calcChain>
</file>

<file path=xl/sharedStrings.xml><?xml version="1.0" encoding="utf-8"?>
<sst xmlns="http://schemas.openxmlformats.org/spreadsheetml/2006/main" count="3071" uniqueCount="223">
  <si>
    <t>CCAA/PROVINCIAS</t>
  </si>
  <si>
    <t>Absoluto (ha)</t>
  </si>
  <si>
    <t>Relativo</t>
  </si>
  <si>
    <t>NARANJO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</si>
  <si>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</si>
  <si>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</si>
  <si>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</si>
  <si>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</si>
  <si>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</si>
  <si>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</si>
  <si>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</si>
  <si>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</si>
  <si>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</si>
  <si>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ASTURIAS</t>
  </si>
  <si>
    <t>C. VALENCIANA</t>
  </si>
  <si>
    <t>ALICANTE</t>
  </si>
  <si>
    <t>CASTELLÓN</t>
  </si>
  <si>
    <t>VALENCIA</t>
  </si>
  <si>
    <t>CANTABRIA</t>
  </si>
  <si>
    <t>CATALUÑA</t>
  </si>
  <si>
    <t>BARCELONA</t>
  </si>
  <si>
    <t>GIRONA</t>
  </si>
  <si>
    <t>TARRAGONA</t>
  </si>
  <si>
    <t>EXTREMADURA</t>
  </si>
  <si>
    <t>BADAJOZ</t>
  </si>
  <si>
    <t>CÁCERES</t>
  </si>
  <si>
    <t>GALICIA</t>
  </si>
  <si>
    <t>A CORUÑA</t>
  </si>
  <si>
    <t>I. BALEARES</t>
  </si>
  <si>
    <t>I. CANARIAS</t>
  </si>
  <si>
    <t>LAS PALMAS</t>
  </si>
  <si>
    <t>SANTA CRUZ DE TENERIFE</t>
  </si>
  <si>
    <t>MURCIA</t>
  </si>
  <si>
    <t>ESPAÑA</t>
  </si>
  <si>
    <t>PAIS VASCO</t>
  </si>
  <si>
    <t>GUIPÚZCOA</t>
  </si>
  <si>
    <t>C. y LEÓN</t>
  </si>
  <si>
    <t>SALAMANCA</t>
  </si>
  <si>
    <t>PEQUEÑOS CÍTRICOS: Clementinas, mandarinos, mandarinos híbridos y satsumas</t>
  </si>
  <si>
    <t>C.-LA MANCHA</t>
  </si>
  <si>
    <t>ALBACETE</t>
  </si>
  <si>
    <t>LIMONERO</t>
  </si>
  <si>
    <t>POMELO</t>
  </si>
  <si>
    <t>ARAGÓN</t>
  </si>
  <si>
    <t>TERUEL</t>
  </si>
  <si>
    <t>CIUDAD REAL</t>
  </si>
  <si>
    <t>LUGO</t>
  </si>
  <si>
    <t>LLEIDA</t>
  </si>
  <si>
    <t>OURENSE</t>
  </si>
  <si>
    <t>PONTEVEDRA</t>
  </si>
  <si>
    <t>VIZCAYA</t>
  </si>
  <si>
    <t>Volver al:</t>
  </si>
  <si>
    <t>INDICE</t>
  </si>
  <si>
    <t>Sin info de edad</t>
  </si>
  <si>
    <t>Total general</t>
  </si>
  <si>
    <t>Distribución Territorial</t>
  </si>
  <si>
    <t>CCAA</t>
  </si>
  <si>
    <t>5-10%</t>
  </si>
  <si>
    <t>10-15%</t>
  </si>
  <si>
    <t>Total</t>
  </si>
  <si>
    <t>Dist. C.A.</t>
  </si>
  <si>
    <t xml:space="preserve"> &gt;0-5</t>
  </si>
  <si>
    <t>&gt;5-10</t>
  </si>
  <si>
    <t>&gt;10-15</t>
  </si>
  <si>
    <t>&gt;15-20</t>
  </si>
  <si>
    <t>&gt;20-25</t>
  </si>
  <si>
    <t>&gt;25-30</t>
  </si>
  <si>
    <t xml:space="preserve"> &gt;30-35</t>
  </si>
  <si>
    <t xml:space="preserve"> &gt;35-40</t>
  </si>
  <si>
    <t xml:space="preserve"> &gt;40-45</t>
  </si>
  <si>
    <t>&gt;45-50</t>
  </si>
  <si>
    <t>&gt;50-55</t>
  </si>
  <si>
    <t xml:space="preserve"> &gt;55-60</t>
  </si>
  <si>
    <t>&gt;60-65</t>
  </si>
  <si>
    <t xml:space="preserve"> &gt;65-70</t>
  </si>
  <si>
    <t xml:space="preserve"> &gt;70-75</t>
  </si>
  <si>
    <t xml:space="preserve"> &gt;75-80</t>
  </si>
  <si>
    <t xml:space="preserve"> &gt;80-85</t>
  </si>
  <si>
    <t>&gt;85-90</t>
  </si>
  <si>
    <t xml:space="preserve"> &gt;90-95</t>
  </si>
  <si>
    <t xml:space="preserve"> &gt;95-100</t>
  </si>
  <si>
    <t xml:space="preserve"> &gt;100-150</t>
  </si>
  <si>
    <t xml:space="preserve"> &gt;150</t>
  </si>
  <si>
    <r>
      <rPr>
        <b/>
        <sz val="12"/>
        <color rgb="FF006600"/>
        <rFont val="Calibri"/>
        <family val="2"/>
        <scheme val="minor"/>
      </rPr>
      <t>NARANJO: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SECANO</t>
    </r>
  </si>
  <si>
    <r>
      <rPr>
        <b/>
        <sz val="12"/>
        <color rgb="FF006600"/>
        <rFont val="Calibri"/>
        <family val="2"/>
        <scheme val="minor"/>
      </rPr>
      <t>NARANJO: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TOTAL</t>
    </r>
  </si>
  <si>
    <r>
      <rPr>
        <b/>
        <sz val="12"/>
        <color rgb="FF006600"/>
        <rFont val="Calibri"/>
        <family val="2"/>
        <scheme val="minor"/>
      </rPr>
      <t>NARANJO: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REGADIO</t>
    </r>
  </si>
  <si>
    <r>
      <rPr>
        <b/>
        <sz val="12"/>
        <color rgb="FF006600"/>
        <rFont val="Calibri"/>
        <family val="2"/>
        <scheme val="minor"/>
      </rPr>
      <t>PEQUEÑOS CÍTRICOS (clementinas, mandarinos, mandarinos híbridos y satsumas):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SECANO</t>
    </r>
  </si>
  <si>
    <r>
      <rPr>
        <b/>
        <sz val="12"/>
        <color rgb="FF006600"/>
        <rFont val="Calibri"/>
        <family val="2"/>
        <scheme val="minor"/>
      </rPr>
      <t>PEQUEÑOS CÍTRICOS (clementinas, mandarinos, mandarinos híbridos y satsumas):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TOTAL</t>
    </r>
  </si>
  <si>
    <r>
      <rPr>
        <b/>
        <sz val="12"/>
        <color rgb="FF006600"/>
        <rFont val="Calibri"/>
        <family val="2"/>
        <scheme val="minor"/>
      </rPr>
      <t xml:space="preserve">PEQUEÑOS CÍTRICOS </t>
    </r>
    <r>
      <rPr>
        <b/>
        <sz val="11"/>
        <color rgb="FF006600"/>
        <rFont val="Calibri"/>
        <family val="2"/>
        <scheme val="minor"/>
      </rPr>
      <t>(clementinas, mandarinos, mandarinos híbridos y satsumas)</t>
    </r>
    <r>
      <rPr>
        <b/>
        <sz val="12"/>
        <color rgb="FF006600"/>
        <rFont val="Calibri"/>
        <family val="2"/>
        <scheme val="minor"/>
      </rPr>
      <t>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REGADIO</t>
    </r>
  </si>
  <si>
    <t>MADRID</t>
  </si>
  <si>
    <t>NAVARRA</t>
  </si>
  <si>
    <t>PAÍS VASCO</t>
  </si>
  <si>
    <t>PEQUEÑOS CITRICOS (clementinas, mandarinos, mandarinos  hibridos y satsumas)</t>
  </si>
  <si>
    <t xml:space="preserve"> 10-40</t>
  </si>
  <si>
    <t>40-100</t>
  </si>
  <si>
    <t>&gt;100</t>
  </si>
  <si>
    <t>ANDALUCIA</t>
  </si>
  <si>
    <t>C. -LA MANCHA</t>
  </si>
  <si>
    <t>ARAGON</t>
  </si>
  <si>
    <t>I.BALEARES</t>
  </si>
  <si>
    <t>I.CANARIAS</t>
  </si>
  <si>
    <t>PRODUCTO</t>
  </si>
  <si>
    <t>PRECOCIDAD</t>
  </si>
  <si>
    <t>SUPERFICIE</t>
  </si>
  <si>
    <t>TIPO</t>
  </si>
  <si>
    <t>Superficie</t>
  </si>
  <si>
    <t>Nº Explotaciones</t>
  </si>
  <si>
    <t>0-5</t>
  </si>
  <si>
    <t xml:space="preserve"> 5-10</t>
  </si>
  <si>
    <t xml:space="preserve"> 40-100</t>
  </si>
  <si>
    <t>ANÁLISIS DE PENDIENTE</t>
  </si>
  <si>
    <t>TAMAÑO Y Nº DE EXPLOTACIONES</t>
  </si>
  <si>
    <t>CITRICOS</t>
  </si>
  <si>
    <t>Naranjo</t>
  </si>
  <si>
    <t>Limonero</t>
  </si>
  <si>
    <t>Pomelo</t>
  </si>
  <si>
    <t>REPRESENTATIVIDAD DE LOS DATOS DE SUPERFICIE (ha)</t>
  </si>
  <si>
    <t>INFORMACIÓN SOBRE LA EDAD DE PLANTACIÓN</t>
  </si>
  <si>
    <t>CARACTERÍSTICAS POR PRODUCTO Y SUPERFICIE (Variedades)</t>
  </si>
  <si>
    <t>ESPAÑA: NARANJO</t>
  </si>
  <si>
    <t>Blancas</t>
  </si>
  <si>
    <t>Media estación</t>
  </si>
  <si>
    <t>Tardia</t>
  </si>
  <si>
    <t>Navel</t>
  </si>
  <si>
    <t>Temprana</t>
  </si>
  <si>
    <t>Sanguinas</t>
  </si>
  <si>
    <t>Sin clasificar</t>
  </si>
  <si>
    <t>Sin variedad</t>
  </si>
  <si>
    <t>SUPERFICIE TOTAL</t>
  </si>
  <si>
    <t>ESPAÑA: PEQUEÑOS CÍTRICOS</t>
  </si>
  <si>
    <t>ESPAÑA: LIMONERO</t>
  </si>
  <si>
    <t>Invierno</t>
  </si>
  <si>
    <t>Verano</t>
  </si>
  <si>
    <t>PEQ. CÍTRICOS</t>
  </si>
  <si>
    <t>Clementinas</t>
  </si>
  <si>
    <t>Extratempranas</t>
  </si>
  <si>
    <t>Mandarino</t>
  </si>
  <si>
    <t>Satsumas</t>
  </si>
  <si>
    <t>Mandarinos híbridos</t>
  </si>
  <si>
    <t>Superficie por tamaño de explotación</t>
  </si>
  <si>
    <t>Nº explotaciones por tamaño</t>
  </si>
  <si>
    <t>CLEMENTINAS</t>
  </si>
  <si>
    <t>MANDARINOS</t>
  </si>
  <si>
    <t>MANDARINOS HIBRIDOS</t>
  </si>
  <si>
    <t>SATSUMAS</t>
  </si>
  <si>
    <r>
      <rPr>
        <b/>
        <i/>
        <u/>
        <sz val="14"/>
        <color rgb="FFFF0000"/>
        <rFont val="Calibri"/>
        <family val="2"/>
        <scheme val="minor"/>
      </rPr>
      <t>NOTA:</t>
    </r>
    <r>
      <rPr>
        <b/>
        <sz val="14"/>
        <color theme="1"/>
        <rFont val="Calibri"/>
        <family val="2"/>
        <scheme val="minor"/>
      </rPr>
      <t xml:space="preserve"> FUENTE: FEGA 2020</t>
    </r>
  </si>
  <si>
    <t>PENDIENTE TOTAL EN ESPAÑA POR PRODUCTOS</t>
  </si>
  <si>
    <t>Mandarinos</t>
  </si>
  <si>
    <t>Pequeños cítricos</t>
  </si>
  <si>
    <t>PENDIENTE TOTAL EN LOS DISTINTOS PRODUCTOS</t>
  </si>
  <si>
    <t>MANDARINO</t>
  </si>
  <si>
    <t>Mandarino híbrido</t>
  </si>
  <si>
    <t xml:space="preserve">PEQUEÑOS CÍTRICOS  </t>
  </si>
  <si>
    <t>PEQUEÑOS CÍTRICOS (clementinas, mandarinos, mandarinos híbridos y satsumas)</t>
  </si>
  <si>
    <t>Clementina</t>
  </si>
  <si>
    <t>SUPERFICIES ANUALES (ha)</t>
  </si>
  <si>
    <t xml:space="preserve">FUENTE: </t>
  </si>
  <si>
    <t>2019PET_FRUTALES</t>
  </si>
  <si>
    <t>201022 PROPUESTA DE VARIEDADES CÍTRICOS POR EPOCA RECOLECCIÓN Y TIPOS DESPUÉS DE ORSERVACIONES SECTOR</t>
  </si>
  <si>
    <t>FUENTE:</t>
  </si>
  <si>
    <t>ISLAS BALEARES</t>
  </si>
  <si>
    <t>LA RIOJA</t>
  </si>
  <si>
    <t>0-5%</t>
  </si>
  <si>
    <t>&gt;=15%</t>
  </si>
  <si>
    <r>
      <rPr>
        <b/>
        <sz val="12"/>
        <color rgb="FF006600"/>
        <rFont val="Calibri"/>
        <family val="2"/>
        <scheme val="minor"/>
      </rPr>
      <t>CLEMENTINAS: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SECANO</t>
    </r>
  </si>
  <si>
    <r>
      <rPr>
        <b/>
        <sz val="12"/>
        <color rgb="FF006600"/>
        <rFont val="Calibri"/>
        <family val="2"/>
        <scheme val="minor"/>
      </rPr>
      <t>CLEMENTINAS: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REGADÍO</t>
    </r>
  </si>
  <si>
    <r>
      <rPr>
        <b/>
        <sz val="12"/>
        <color rgb="FF006600"/>
        <rFont val="Calibri"/>
        <family val="2"/>
        <scheme val="minor"/>
      </rPr>
      <t>CLEMENTINAS:</t>
    </r>
    <r>
      <rPr>
        <sz val="12"/>
        <color rgb="FF006600"/>
        <rFont val="Calibri"/>
        <family val="2"/>
        <scheme val="minor"/>
      </rPr>
      <t xml:space="preserve"> TOTAL</t>
    </r>
  </si>
  <si>
    <r>
      <rPr>
        <b/>
        <sz val="12"/>
        <color rgb="FF006600"/>
        <rFont val="Calibri"/>
        <family val="2"/>
        <scheme val="minor"/>
      </rPr>
      <t>MANDARINOS: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SECANO</t>
    </r>
  </si>
  <si>
    <r>
      <rPr>
        <b/>
        <sz val="12"/>
        <color rgb="FF006600"/>
        <rFont val="Calibri"/>
        <family val="2"/>
        <scheme val="minor"/>
      </rPr>
      <t>MANDARINOS: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REGADÍO</t>
    </r>
  </si>
  <si>
    <r>
      <rPr>
        <b/>
        <sz val="12"/>
        <color rgb="FF006600"/>
        <rFont val="Calibri"/>
        <family val="2"/>
        <scheme val="minor"/>
      </rPr>
      <t>MANDARINOS: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TOTAL</t>
    </r>
  </si>
  <si>
    <r>
      <rPr>
        <b/>
        <sz val="12"/>
        <color rgb="FF006600"/>
        <rFont val="Calibri"/>
        <family val="2"/>
        <scheme val="minor"/>
      </rPr>
      <t>MANDARINOS HIBRIDOS:</t>
    </r>
    <r>
      <rPr>
        <sz val="12"/>
        <color rgb="FF006600"/>
        <rFont val="Calibri"/>
        <family val="2"/>
        <scheme val="minor"/>
      </rPr>
      <t xml:space="preserve"> TOTAL</t>
    </r>
  </si>
  <si>
    <r>
      <rPr>
        <b/>
        <sz val="12"/>
        <color rgb="FF006600"/>
        <rFont val="Calibri"/>
        <family val="2"/>
        <scheme val="minor"/>
      </rPr>
      <t>MANDARINOS HIBRIDOS:</t>
    </r>
    <r>
      <rPr>
        <sz val="12"/>
        <color rgb="FF006600"/>
        <rFont val="Calibri"/>
        <family val="2"/>
        <scheme val="minor"/>
      </rPr>
      <t xml:space="preserve"> SECAN</t>
    </r>
    <r>
      <rPr>
        <b/>
        <u/>
        <sz val="12"/>
        <color rgb="FF006600"/>
        <rFont val="Calibri"/>
        <family val="2"/>
        <scheme val="minor"/>
      </rPr>
      <t>O</t>
    </r>
  </si>
  <si>
    <r>
      <rPr>
        <b/>
        <sz val="12"/>
        <color rgb="FF006600"/>
        <rFont val="Calibri"/>
        <family val="2"/>
        <scheme val="minor"/>
      </rPr>
      <t>MANDARINOS HIBRIDOS:</t>
    </r>
    <r>
      <rPr>
        <sz val="12"/>
        <color rgb="FF006600"/>
        <rFont val="Calibri"/>
        <family val="2"/>
        <scheme val="minor"/>
      </rPr>
      <t xml:space="preserve"> </t>
    </r>
    <r>
      <rPr>
        <b/>
        <u/>
        <sz val="12"/>
        <color rgb="FF006600"/>
        <rFont val="Calibri"/>
        <family val="2"/>
        <scheme val="minor"/>
      </rPr>
      <t>REGADÍO</t>
    </r>
  </si>
  <si>
    <t>SATSUMAS: TOTAL</t>
  </si>
  <si>
    <t>SATSUMAS: SECANO</t>
  </si>
  <si>
    <t>SATSUMAS: REGADIO</t>
  </si>
  <si>
    <t>LIMONERO: SECANO</t>
  </si>
  <si>
    <t>LIMONERO: REGADIO</t>
  </si>
  <si>
    <t>LIMONERO: TOTAL</t>
  </si>
  <si>
    <t>POMELO: SECANO</t>
  </si>
  <si>
    <t>POMELO: REGADÍO</t>
  </si>
  <si>
    <t>POMELO: TOTAL</t>
  </si>
  <si>
    <t xml:space="preserve"> Explot_Pendiente_Cultivos_Leñosos_02032021</t>
  </si>
  <si>
    <t>TOTAL</t>
  </si>
  <si>
    <t>20191114_FYH_HISTÓRICOGENERALSUPERYPRODREGIONALES</t>
  </si>
  <si>
    <t>Explot_Cultivos_Leñosos_030320210</t>
  </si>
  <si>
    <t>PEQUEÑOS CÍTRICOS</t>
  </si>
  <si>
    <t>Superficies anuales 2020</t>
  </si>
  <si>
    <t>&lt;2.000</t>
  </si>
  <si>
    <t>Pet_RR_Citricos_RSU_REGEPA_2020_14042021</t>
  </si>
  <si>
    <t>CÍTRICOS TOTAL</t>
  </si>
  <si>
    <t>citricosprovisional2020_tcm30-560537</t>
  </si>
  <si>
    <r>
      <t>citricosprovisional2020_tcm30-560537 (</t>
    </r>
    <r>
      <rPr>
        <b/>
        <i/>
        <sz val="11"/>
        <color theme="1"/>
        <rFont val="Calibri"/>
        <family val="2"/>
        <scheme val="minor"/>
      </rPr>
      <t>INCLUYE: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naranjo + naranjo amargo</t>
    </r>
    <r>
      <rPr>
        <sz val="11"/>
        <color theme="1"/>
        <rFont val="Calibri"/>
        <family val="2"/>
        <scheme val="minor"/>
      </rPr>
      <t>)</t>
    </r>
  </si>
  <si>
    <r>
      <t xml:space="preserve">citricosprovisional2020_tcm30-560537 </t>
    </r>
    <r>
      <rPr>
        <i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>INCLUYE:</t>
    </r>
    <r>
      <rPr>
        <i/>
        <sz val="11"/>
        <color theme="1"/>
        <rFont val="Calibri"/>
        <family val="2"/>
        <scheme val="minor"/>
      </rPr>
      <t xml:space="preserve"> mandarino + otros cítricos)</t>
    </r>
  </si>
  <si>
    <r>
      <t>20191114_FYH_HISTÓRICOGENERALSUPERYPRODREGIONALES</t>
    </r>
    <r>
      <rPr>
        <i/>
        <sz val="11"/>
        <color theme="1"/>
        <rFont val="Calibri"/>
        <family val="2"/>
        <scheme val="minor"/>
      </rPr>
      <t xml:space="preserve"> (</t>
    </r>
    <r>
      <rPr>
        <b/>
        <i/>
        <sz val="11"/>
        <color theme="1"/>
        <rFont val="Calibri"/>
        <family val="2"/>
        <scheme val="minor"/>
      </rPr>
      <t xml:space="preserve">INCLUYE: </t>
    </r>
    <r>
      <rPr>
        <i/>
        <sz val="11"/>
        <color theme="1"/>
        <rFont val="Calibri"/>
        <family val="2"/>
        <scheme val="minor"/>
      </rPr>
      <t>mandarino + otros cítricos)</t>
    </r>
  </si>
  <si>
    <r>
      <t xml:space="preserve">20191114_FYH_HISTÓRICOGENERALSUPERYPRODREGIONALES </t>
    </r>
    <r>
      <rPr>
        <i/>
        <sz val="11"/>
        <color theme="1"/>
        <rFont val="Calibri"/>
        <family val="2"/>
        <scheme val="minor"/>
      </rPr>
      <t>(</t>
    </r>
    <r>
      <rPr>
        <b/>
        <i/>
        <sz val="11"/>
        <color theme="1"/>
        <rFont val="Calibri"/>
        <family val="2"/>
        <scheme val="minor"/>
      </rPr>
      <t xml:space="preserve">INCLUYE: </t>
    </r>
    <r>
      <rPr>
        <i/>
        <sz val="11"/>
        <color theme="1"/>
        <rFont val="Calibri"/>
        <family val="2"/>
        <scheme val="minor"/>
      </rPr>
      <t>naranjo + naranjo amargo)</t>
    </r>
  </si>
  <si>
    <t>Variación de la representatividad</t>
  </si>
  <si>
    <t>RSU REGEPA (ha)</t>
  </si>
  <si>
    <t>REPRESENTATIVIDAD: RSU REGEPA VS SUPERFICIES ANUALES (%)</t>
  </si>
  <si>
    <t>RSU REGEPA 2020 VS 2019</t>
  </si>
  <si>
    <t>RSU REGEPA 2019</t>
  </si>
  <si>
    <t>RSU REGEPA 2020</t>
  </si>
  <si>
    <t>RSU REGEPA 2020 vs 2019</t>
  </si>
  <si>
    <t>RSU REGEPA vs Superficies (2020)</t>
  </si>
  <si>
    <t>naranjo</t>
  </si>
  <si>
    <t>pequeños cítricos</t>
  </si>
  <si>
    <t>limonero</t>
  </si>
  <si>
    <t>pomelo</t>
  </si>
  <si>
    <t>TOTAL CITRICOS</t>
  </si>
  <si>
    <t>% NARANJO</t>
  </si>
  <si>
    <t>% PEQUEÑOS CÍTRICOS</t>
  </si>
  <si>
    <t>% LIMONERO</t>
  </si>
  <si>
    <t>% POMELO</t>
  </si>
  <si>
    <t>% TOTAL CITRICOS</t>
  </si>
  <si>
    <t>ACUMULADO</t>
  </si>
  <si>
    <t>blancas</t>
  </si>
  <si>
    <t>navel</t>
  </si>
  <si>
    <t>clementinas</t>
  </si>
  <si>
    <t>mandarino</t>
  </si>
  <si>
    <t>mandarino híbrido</t>
  </si>
  <si>
    <t>satsumas</t>
  </si>
  <si>
    <t>sobre total sup</t>
  </si>
  <si>
    <t>El 87% de las explotaciones tienen una superficie inferior a 5 has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</si>
</sst>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00%"/>
    <numFmt numFmtId="165" formatCode="0.0%"/>
    <numFmt numFmtId="166" formatCode="_-* #,##0\ _€_-;\-* #,##0\ _€_-;_-* &quot;-&quot;??\ _€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6600"/>
      <name val="Calibri"/>
      <family val="2"/>
      <scheme val="minor"/>
    </font>
    <font>
      <b/>
      <u/>
      <sz val="12"/>
      <color rgb="FF0066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12"/>
      <color rgb="FF0066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4"/>
      <color rgb="FF800000"/>
      <name val="Calibri"/>
      <family val="2"/>
      <scheme val="minor"/>
    </font>
    <font>
      <b/>
      <i/>
      <sz val="11"/>
      <color rgb="FF8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2"/>
      <color rgb="FFFF9933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8"/>
      <color theme="5" tint="0.79998168889431442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i/>
      <u/>
      <sz val="12"/>
      <color rgb="FF0066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6"/>
      <color rgb="FFFF993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99CC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90000"/>
        <bgColor theme="4" tint="0.79998168889431442"/>
      </patternFill>
    </fill>
    <fill>
      <patternFill patternType="solid">
        <fgColor rgb="FF333333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theme="4" tint="0.79998168889431442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2" fillId="2" borderId="4" xfId="1" applyFont="1" applyFill="1" applyBorder="1" applyAlignment="1">
      <alignment horizontal="center" vertical="center"/>
    </xf>
    <xf numFmtId="0" fontId="4" fillId="0" borderId="6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1"/>
    </xf>
    <xf numFmtId="0" fontId="3" fillId="3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3" fontId="3" fillId="6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6" borderId="4" xfId="0" applyNumberFormat="1" applyFill="1" applyBorder="1" applyAlignment="1">
      <alignment horizontal="center"/>
    </xf>
    <xf numFmtId="3" fontId="3" fillId="8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9" fontId="0" fillId="0" borderId="0" xfId="1" applyFont="1"/>
    <xf numFmtId="9" fontId="0" fillId="0" borderId="4" xfId="1" applyFont="1" applyBorder="1" applyAlignment="1">
      <alignment horizontal="center"/>
    </xf>
    <xf numFmtId="9" fontId="3" fillId="8" borderId="4" xfId="1" applyFont="1" applyFill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3" fontId="3" fillId="8" borderId="4" xfId="1" applyNumberFormat="1" applyFont="1" applyFill="1" applyBorder="1" applyAlignment="1">
      <alignment horizontal="center"/>
    </xf>
    <xf numFmtId="9" fontId="3" fillId="6" borderId="4" xfId="1" applyFont="1" applyFill="1" applyBorder="1" applyAlignment="1">
      <alignment horizontal="center"/>
    </xf>
    <xf numFmtId="9" fontId="0" fillId="6" borderId="4" xfId="1" applyFont="1" applyFill="1" applyBorder="1" applyAlignment="1">
      <alignment horizontal="center"/>
    </xf>
    <xf numFmtId="9" fontId="3" fillId="3" borderId="4" xfId="1" applyFon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center"/>
    </xf>
    <xf numFmtId="9" fontId="0" fillId="0" borderId="4" xfId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2"/>
    <xf numFmtId="0" fontId="6" fillId="4" borderId="4" xfId="0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9" fontId="6" fillId="4" borderId="4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6" xfId="0" applyFont="1" applyBorder="1" applyAlignment="1"/>
    <xf numFmtId="0" fontId="7" fillId="0" borderId="6" xfId="0" applyFont="1" applyBorder="1" applyAlignment="1">
      <alignment horizontal="center"/>
    </xf>
    <xf numFmtId="3" fontId="6" fillId="4" borderId="3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/>
    </xf>
    <xf numFmtId="3" fontId="3" fillId="7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3" fillId="10" borderId="4" xfId="0" applyFont="1" applyFill="1" applyBorder="1" applyAlignment="1">
      <alignment horizontal="left"/>
    </xf>
    <xf numFmtId="3" fontId="3" fillId="10" borderId="4" xfId="0" applyNumberFormat="1" applyFont="1" applyFill="1" applyBorder="1" applyAlignment="1">
      <alignment horizontal="center"/>
    </xf>
    <xf numFmtId="9" fontId="3" fillId="10" borderId="4" xfId="1" applyFont="1" applyFill="1" applyBorder="1" applyAlignment="1">
      <alignment horizontal="center"/>
    </xf>
    <xf numFmtId="9" fontId="8" fillId="9" borderId="4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12" borderId="4" xfId="0" applyFont="1" applyFill="1" applyBorder="1" applyAlignment="1">
      <alignment horizontal="center"/>
    </xf>
    <xf numFmtId="0" fontId="2" fillId="13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left"/>
    </xf>
    <xf numFmtId="3" fontId="3" fillId="11" borderId="4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3" fontId="8" fillId="12" borderId="4" xfId="0" applyNumberFormat="1" applyFont="1" applyFill="1" applyBorder="1" applyAlignment="1">
      <alignment horizontal="center"/>
    </xf>
    <xf numFmtId="3" fontId="2" fillId="13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3" fontId="3" fillId="11" borderId="4" xfId="0" applyNumberFormat="1" applyFont="1" applyFill="1" applyBorder="1" applyAlignment="1">
      <alignment horizontal="left"/>
    </xf>
    <xf numFmtId="0" fontId="2" fillId="14" borderId="4" xfId="0" applyFont="1" applyFill="1" applyBorder="1" applyAlignment="1">
      <alignment horizontal="center"/>
    </xf>
    <xf numFmtId="3" fontId="3" fillId="16" borderId="4" xfId="0" applyNumberFormat="1" applyFont="1" applyFill="1" applyBorder="1" applyAlignment="1">
      <alignment horizontal="center"/>
    </xf>
    <xf numFmtId="17" fontId="2" fillId="14" borderId="4" xfId="0" applyNumberFormat="1" applyFont="1" applyFill="1" applyBorder="1" applyAlignment="1">
      <alignment horizontal="center"/>
    </xf>
    <xf numFmtId="3" fontId="2" fillId="14" borderId="4" xfId="0" applyNumberFormat="1" applyFont="1" applyFill="1" applyBorder="1" applyAlignment="1">
      <alignment horizontal="center"/>
    </xf>
    <xf numFmtId="9" fontId="3" fillId="5" borderId="4" xfId="1" applyFont="1" applyFill="1" applyBorder="1" applyAlignment="1">
      <alignment horizontal="center"/>
    </xf>
    <xf numFmtId="9" fontId="3" fillId="11" borderId="4" xfId="1" applyFont="1" applyFill="1" applyBorder="1" applyAlignment="1">
      <alignment horizontal="center"/>
    </xf>
    <xf numFmtId="9" fontId="3" fillId="7" borderId="4" xfId="1" applyFont="1" applyFill="1" applyBorder="1" applyAlignment="1">
      <alignment horizontal="center"/>
    </xf>
    <xf numFmtId="0" fontId="16" fillId="2" borderId="4" xfId="0" applyFont="1" applyFill="1" applyBorder="1"/>
    <xf numFmtId="3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3" fillId="3" borderId="4" xfId="0" applyFont="1" applyFill="1" applyBorder="1"/>
    <xf numFmtId="0" fontId="17" fillId="15" borderId="4" xfId="0" applyFont="1" applyFill="1" applyBorder="1" applyAlignment="1">
      <alignment horizontal="center"/>
    </xf>
    <xf numFmtId="0" fontId="0" fillId="0" borderId="4" xfId="0" applyFill="1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9" fontId="2" fillId="0" borderId="4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16" fontId="0" fillId="0" borderId="4" xfId="0" applyNumberFormat="1" applyFill="1" applyBorder="1" applyAlignment="1">
      <alignment horizontal="center"/>
    </xf>
    <xf numFmtId="0" fontId="0" fillId="0" borderId="4" xfId="0" applyBorder="1"/>
    <xf numFmtId="0" fontId="18" fillId="0" borderId="0" xfId="0" applyFont="1" applyFill="1" applyAlignment="1"/>
    <xf numFmtId="0" fontId="0" fillId="0" borderId="0" xfId="0" applyBorder="1"/>
    <xf numFmtId="0" fontId="0" fillId="0" borderId="4" xfId="0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9" fontId="1" fillId="0" borderId="4" xfId="1" applyFont="1" applyFill="1" applyBorder="1" applyAlignment="1">
      <alignment horizontal="center"/>
    </xf>
    <xf numFmtId="10" fontId="3" fillId="0" borderId="4" xfId="1" applyNumberFormat="1" applyFont="1" applyBorder="1" applyAlignment="1">
      <alignment horizontal="center"/>
    </xf>
    <xf numFmtId="0" fontId="15" fillId="0" borderId="6" xfId="0" applyFont="1" applyBorder="1" applyAlignment="1"/>
    <xf numFmtId="10" fontId="0" fillId="0" borderId="4" xfId="1" applyNumberFormat="1" applyFont="1" applyBorder="1" applyAlignment="1">
      <alignment horizontal="center"/>
    </xf>
    <xf numFmtId="10" fontId="3" fillId="0" borderId="4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3" fillId="6" borderId="4" xfId="1" applyNumberFormat="1" applyFont="1" applyFill="1" applyBorder="1" applyAlignment="1">
      <alignment horizontal="center"/>
    </xf>
    <xf numFmtId="3" fontId="0" fillId="6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6" xfId="0" applyFont="1" applyBorder="1" applyAlignment="1"/>
    <xf numFmtId="0" fontId="11" fillId="0" borderId="0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9" fontId="3" fillId="0" borderId="4" xfId="1" applyFont="1" applyBorder="1" applyAlignment="1">
      <alignment horizontal="center"/>
    </xf>
    <xf numFmtId="165" fontId="3" fillId="6" borderId="4" xfId="1" applyNumberFormat="1" applyFont="1" applyFill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5" fillId="0" borderId="0" xfId="2" applyBorder="1"/>
    <xf numFmtId="9" fontId="3" fillId="0" borderId="4" xfId="1" applyNumberFormat="1" applyFont="1" applyFill="1" applyBorder="1" applyAlignment="1">
      <alignment horizontal="center"/>
    </xf>
    <xf numFmtId="0" fontId="23" fillId="0" borderId="0" xfId="0" applyFont="1" applyFill="1" applyBorder="1" applyAlignment="1"/>
    <xf numFmtId="0" fontId="12" fillId="0" borderId="6" xfId="0" applyFont="1" applyBorder="1" applyAlignment="1"/>
    <xf numFmtId="9" fontId="8" fillId="0" borderId="0" xfId="1" applyFont="1" applyFill="1" applyBorder="1" applyAlignment="1">
      <alignment horizontal="center"/>
    </xf>
    <xf numFmtId="0" fontId="26" fillId="0" borderId="0" xfId="0" applyFont="1"/>
    <xf numFmtId="0" fontId="14" fillId="0" borderId="0" xfId="0" applyFont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3" fontId="3" fillId="17" borderId="4" xfId="0" applyNumberFormat="1" applyFont="1" applyFill="1" applyBorder="1" applyAlignment="1">
      <alignment horizontal="center"/>
    </xf>
    <xf numFmtId="0" fontId="5" fillId="0" borderId="4" xfId="2" applyBorder="1" applyAlignment="1">
      <alignment horizontal="left" wrapText="1"/>
    </xf>
    <xf numFmtId="0" fontId="19" fillId="3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24" fillId="0" borderId="4" xfId="0" applyFont="1" applyBorder="1"/>
    <xf numFmtId="0" fontId="24" fillId="0" borderId="6" xfId="0" applyFont="1" applyBorder="1" applyAlignment="1"/>
    <xf numFmtId="0" fontId="23" fillId="0" borderId="0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3" fontId="3" fillId="10" borderId="4" xfId="1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7" fillId="0" borderId="4" xfId="2" applyFont="1" applyBorder="1"/>
    <xf numFmtId="3" fontId="0" fillId="0" borderId="0" xfId="0" applyNumberFormat="1"/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3" fillId="16" borderId="4" xfId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9" fillId="19" borderId="4" xfId="0" applyFont="1" applyFill="1" applyBorder="1" applyAlignment="1">
      <alignment horizontal="center"/>
    </xf>
    <xf numFmtId="0" fontId="30" fillId="0" borderId="0" xfId="0" applyFont="1"/>
    <xf numFmtId="165" fontId="3" fillId="0" borderId="4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65" fontId="0" fillId="6" borderId="4" xfId="1" applyNumberFormat="1" applyFont="1" applyFill="1" applyBorder="1" applyAlignment="1">
      <alignment horizontal="center"/>
    </xf>
    <xf numFmtId="165" fontId="3" fillId="8" borderId="4" xfId="1" applyNumberFormat="1" applyFont="1" applyFill="1" applyBorder="1" applyAlignment="1">
      <alignment horizontal="center"/>
    </xf>
    <xf numFmtId="165" fontId="3" fillId="7" borderId="4" xfId="1" applyNumberFormat="1" applyFont="1" applyFill="1" applyBorder="1" applyAlignment="1">
      <alignment horizontal="center"/>
    </xf>
    <xf numFmtId="165" fontId="3" fillId="5" borderId="4" xfId="1" applyNumberFormat="1" applyFont="1" applyFill="1" applyBorder="1" applyAlignment="1">
      <alignment horizontal="center"/>
    </xf>
    <xf numFmtId="165" fontId="1" fillId="0" borderId="4" xfId="1" applyNumberFormat="1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2" fillId="0" borderId="0" xfId="1" applyFont="1" applyFill="1" applyBorder="1" applyAlignment="1">
      <alignment horizontal="center" vertical="center"/>
    </xf>
    <xf numFmtId="9" fontId="0" fillId="0" borderId="0" xfId="1" applyFont="1" applyFill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0" fontId="15" fillId="0" borderId="0" xfId="0" applyFont="1" applyBorder="1" applyAlignment="1"/>
    <xf numFmtId="10" fontId="3" fillId="6" borderId="4" xfId="1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9" fontId="2" fillId="2" borderId="2" xfId="1" applyFont="1" applyFill="1" applyBorder="1" applyAlignment="1">
      <alignment horizontal="center" vertical="center"/>
    </xf>
    <xf numFmtId="9" fontId="3" fillId="6" borderId="2" xfId="1" applyFont="1" applyFill="1" applyBorder="1" applyAlignment="1">
      <alignment horizontal="center"/>
    </xf>
    <xf numFmtId="9" fontId="1" fillId="0" borderId="2" xfId="1" applyFont="1" applyFill="1" applyBorder="1" applyAlignment="1">
      <alignment horizontal="center"/>
    </xf>
    <xf numFmtId="9" fontId="3" fillId="3" borderId="2" xfId="1" applyFont="1" applyFill="1" applyBorder="1" applyAlignment="1">
      <alignment horizontal="center"/>
    </xf>
    <xf numFmtId="165" fontId="3" fillId="6" borderId="4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0" fontId="3" fillId="3" borderId="4" xfId="0" applyNumberFormat="1" applyFont="1" applyFill="1" applyBorder="1" applyAlignment="1">
      <alignment horizontal="center"/>
    </xf>
    <xf numFmtId="3" fontId="34" fillId="0" borderId="4" xfId="0" applyNumberFormat="1" applyFont="1" applyFill="1" applyBorder="1" applyAlignment="1">
      <alignment horizontal="center" vertical="center"/>
    </xf>
    <xf numFmtId="3" fontId="34" fillId="0" borderId="3" xfId="0" applyNumberFormat="1" applyFont="1" applyFill="1" applyBorder="1" applyAlignment="1">
      <alignment horizontal="center" vertical="center"/>
    </xf>
    <xf numFmtId="3" fontId="22" fillId="0" borderId="4" xfId="0" applyNumberFormat="1" applyFont="1" applyFill="1" applyBorder="1" applyAlignment="1">
      <alignment horizontal="center"/>
    </xf>
    <xf numFmtId="0" fontId="3" fillId="0" borderId="4" xfId="0" applyFont="1" applyBorder="1"/>
    <xf numFmtId="165" fontId="3" fillId="0" borderId="4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33" fillId="0" borderId="4" xfId="0" applyFont="1" applyFill="1" applyBorder="1" applyAlignment="1">
      <alignment horizontal="left"/>
    </xf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4" xfId="0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7" fillId="0" borderId="0" xfId="2" applyFont="1"/>
    <xf numFmtId="0" fontId="27" fillId="0" borderId="4" xfId="2" applyFont="1" applyBorder="1" applyAlignment="1">
      <alignment horizontal="left" indent="2"/>
    </xf>
    <xf numFmtId="165" fontId="0" fillId="0" borderId="0" xfId="1" applyNumberFormat="1" applyFont="1"/>
    <xf numFmtId="0" fontId="35" fillId="20" borderId="0" xfId="0" applyFont="1" applyFill="1" applyBorder="1"/>
    <xf numFmtId="0" fontId="32" fillId="0" borderId="8" xfId="0" applyFont="1" applyFill="1" applyBorder="1"/>
    <xf numFmtId="0" fontId="32" fillId="0" borderId="4" xfId="0" applyFont="1" applyBorder="1"/>
    <xf numFmtId="9" fontId="31" fillId="0" borderId="0" xfId="1" applyFont="1"/>
    <xf numFmtId="0" fontId="0" fillId="0" borderId="8" xfId="0" applyFont="1" applyFill="1" applyBorder="1"/>
    <xf numFmtId="9" fontId="0" fillId="0" borderId="0" xfId="0" applyNumberFormat="1"/>
    <xf numFmtId="9" fontId="0" fillId="0" borderId="0" xfId="0" applyNumberFormat="1" applyFill="1" applyBorder="1"/>
    <xf numFmtId="3" fontId="0" fillId="0" borderId="0" xfId="0" applyNumberFormat="1" applyBorder="1"/>
    <xf numFmtId="9" fontId="0" fillId="0" borderId="0" xfId="1" applyFont="1" applyBorder="1"/>
    <xf numFmtId="0" fontId="0" fillId="0" borderId="0" xfId="0" applyFont="1" applyFill="1" applyBorder="1"/>
    <xf numFmtId="166" fontId="0" fillId="0" borderId="0" xfId="3" applyNumberFormat="1" applyFont="1" applyBorder="1"/>
    <xf numFmtId="166" fontId="0" fillId="0" borderId="0" xfId="0" applyNumberFormat="1"/>
    <xf numFmtId="166" fontId="0" fillId="0" borderId="0" xfId="3" applyNumberFormat="1" applyFont="1"/>
    <xf numFmtId="9" fontId="0" fillId="0" borderId="4" xfId="1" applyNumberFormat="1" applyFont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Normal" xfId="0" builtinId="0"/>
    <cellStyle name="Porcentaje" xfId="1" builtinId="5"/>
  </cellStyles>
  <dxfs count="10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800000"/>
      <color rgb="FF990000"/>
      <color rgb="FFFF9933"/>
      <color rgb="FFFF5050"/>
      <color rgb="FF006600"/>
      <color rgb="FFCCFF66"/>
      <color rgb="FF333333"/>
      <color rgb="FF669900"/>
      <color rgb="FF99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01.xml.rels><?xml version="1.0" encoding="UTF-8" standalone="yes"?>
<Relationships xmlns="http://schemas.openxmlformats.org/package/2006/relationships"><Relationship Id="rId2" Type="http://schemas.microsoft.com/office/2011/relationships/chartColorStyle" Target="colors101.xml"/><Relationship Id="rId1" Type="http://schemas.microsoft.com/office/2011/relationships/chartStyle" Target="style101.xml"/></Relationships>
</file>

<file path=xl/charts/_rels/chart102.xml.rels><?xml version="1.0" encoding="UTF-8" standalone="yes"?>
<Relationships xmlns="http://schemas.openxmlformats.org/package/2006/relationships"><Relationship Id="rId2" Type="http://schemas.microsoft.com/office/2011/relationships/chartColorStyle" Target="colors102.xml"/><Relationship Id="rId1" Type="http://schemas.microsoft.com/office/2011/relationships/chartStyle" Target="style102.xml"/></Relationships>
</file>

<file path=xl/charts/_rels/chart103.xml.rels><?xml version="1.0" encoding="UTF-8" standalone="yes"?>
<Relationships xmlns="http://schemas.openxmlformats.org/package/2006/relationships"><Relationship Id="rId2" Type="http://schemas.microsoft.com/office/2011/relationships/chartColorStyle" Target="colors103.xml"/><Relationship Id="rId1" Type="http://schemas.microsoft.com/office/2011/relationships/chartStyle" Target="style103.xml"/></Relationships>
</file>

<file path=xl/charts/_rels/chart104.xml.rels><?xml version="1.0" encoding="UTF-8" standalone="yes"?>
<Relationships xmlns="http://schemas.openxmlformats.org/package/2006/relationships"><Relationship Id="rId2" Type="http://schemas.microsoft.com/office/2011/relationships/chartColorStyle" Target="colors104.xml"/><Relationship Id="rId1" Type="http://schemas.microsoft.com/office/2011/relationships/chartStyle" Target="style104.xml"/></Relationships>
</file>

<file path=xl/charts/_rels/chart105.xml.rels><?xml version="1.0" encoding="UTF-8" standalone="yes"?>
<Relationships xmlns="http://schemas.openxmlformats.org/package/2006/relationships"><Relationship Id="rId2" Type="http://schemas.microsoft.com/office/2011/relationships/chartColorStyle" Target="colors105.xml"/><Relationship Id="rId1" Type="http://schemas.microsoft.com/office/2011/relationships/chartStyle" Target="style105.xml"/></Relationships>
</file>

<file path=xl/charts/_rels/chart106.xml.rels><?xml version="1.0" encoding="UTF-8" standalone="yes"?>
<Relationships xmlns="http://schemas.openxmlformats.org/package/2006/relationships"><Relationship Id="rId2" Type="http://schemas.microsoft.com/office/2011/relationships/chartColorStyle" Target="colors106.xml"/><Relationship Id="rId1" Type="http://schemas.microsoft.com/office/2011/relationships/chartStyle" Target="style106.xml"/></Relationships>
</file>

<file path=xl/charts/_rels/chart107.xml.rels><?xml version="1.0" encoding="UTF-8" standalone="yes"?>
<Relationships xmlns="http://schemas.openxmlformats.org/package/2006/relationships"><Relationship Id="rId2" Type="http://schemas.microsoft.com/office/2011/relationships/chartColorStyle" Target="colors107.xml"/><Relationship Id="rId1" Type="http://schemas.microsoft.com/office/2011/relationships/chartStyle" Target="style107.xml"/></Relationships>
</file>

<file path=xl/charts/_rels/chart108.xml.rels><?xml version="1.0" encoding="UTF-8" standalone="yes"?>
<Relationships xmlns="http://schemas.openxmlformats.org/package/2006/relationships"><Relationship Id="rId2" Type="http://schemas.microsoft.com/office/2011/relationships/chartColorStyle" Target="colors108.xml"/><Relationship Id="rId1" Type="http://schemas.microsoft.com/office/2011/relationships/chartStyle" Target="style108.xml"/></Relationships>
</file>

<file path=xl/charts/_rels/chart109.xml.rels><?xml version="1.0" encoding="UTF-8" standalone="yes"?>
<Relationships xmlns="http://schemas.openxmlformats.org/package/2006/relationships"><Relationship Id="rId2" Type="http://schemas.microsoft.com/office/2011/relationships/chartColorStyle" Target="colors109.xml"/><Relationship Id="rId1" Type="http://schemas.microsoft.com/office/2011/relationships/chartStyle" Target="style10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10.xml.rels><?xml version="1.0" encoding="UTF-8" standalone="yes"?>
<Relationships xmlns="http://schemas.openxmlformats.org/package/2006/relationships"><Relationship Id="rId2" Type="http://schemas.microsoft.com/office/2011/relationships/chartColorStyle" Target="colors110.xml"/><Relationship Id="rId1" Type="http://schemas.microsoft.com/office/2011/relationships/chartStyle" Target="style110.xml"/></Relationships>
</file>

<file path=xl/charts/_rels/chart111.xml.rels><?xml version="1.0" encoding="UTF-8" standalone="yes"?>
<Relationships xmlns="http://schemas.openxmlformats.org/package/2006/relationships"><Relationship Id="rId2" Type="http://schemas.microsoft.com/office/2011/relationships/chartColorStyle" Target="colors111.xml"/><Relationship Id="rId1" Type="http://schemas.microsoft.com/office/2011/relationships/chartStyle" Target="style111.xml"/></Relationships>
</file>

<file path=xl/charts/_rels/chart112.xml.rels><?xml version="1.0" encoding="UTF-8" standalone="yes"?>
<Relationships xmlns="http://schemas.openxmlformats.org/package/2006/relationships"><Relationship Id="rId2" Type="http://schemas.microsoft.com/office/2011/relationships/chartColorStyle" Target="colors112.xml"/><Relationship Id="rId1" Type="http://schemas.microsoft.com/office/2011/relationships/chartStyle" Target="style112.xml"/></Relationships>
</file>

<file path=xl/charts/_rels/chart113.xml.rels><?xml version="1.0" encoding="UTF-8" standalone="yes"?>
<Relationships xmlns="http://schemas.openxmlformats.org/package/2006/relationships"><Relationship Id="rId2" Type="http://schemas.microsoft.com/office/2011/relationships/chartColorStyle" Target="colors113.xml"/><Relationship Id="rId1" Type="http://schemas.microsoft.com/office/2011/relationships/chartStyle" Target="style113.xml"/></Relationships>
</file>

<file path=xl/charts/_rels/chart114.xml.rels><?xml version="1.0" encoding="UTF-8" standalone="yes"?>
<Relationships xmlns="http://schemas.openxmlformats.org/package/2006/relationships"><Relationship Id="rId2" Type="http://schemas.microsoft.com/office/2011/relationships/chartColorStyle" Target="colors114.xml"/><Relationship Id="rId1" Type="http://schemas.microsoft.com/office/2011/relationships/chartStyle" Target="style114.xml"/></Relationships>
</file>

<file path=xl/charts/_rels/chart115.xml.rels><?xml version="1.0" encoding="UTF-8" standalone="yes"?>
<Relationships xmlns="http://schemas.openxmlformats.org/package/2006/relationships"><Relationship Id="rId2" Type="http://schemas.microsoft.com/office/2011/relationships/chartColorStyle" Target="colors115.xml"/><Relationship Id="rId1" Type="http://schemas.microsoft.com/office/2011/relationships/chartStyle" Target="style115.xml"/></Relationships>
</file>

<file path=xl/charts/_rels/chart116.xml.rels><?xml version="1.0" encoding="UTF-8" standalone="yes"?>
<Relationships xmlns="http://schemas.openxmlformats.org/package/2006/relationships"><Relationship Id="rId2" Type="http://schemas.microsoft.com/office/2011/relationships/chartColorStyle" Target="colors116.xml"/><Relationship Id="rId1" Type="http://schemas.microsoft.com/office/2011/relationships/chartStyle" Target="style116.xml"/></Relationships>
</file>

<file path=xl/charts/_rels/chart117.xml.rels><?xml version="1.0" encoding="UTF-8" standalone="yes"?>
<Relationships xmlns="http://schemas.openxmlformats.org/package/2006/relationships"><Relationship Id="rId2" Type="http://schemas.microsoft.com/office/2011/relationships/chartColorStyle" Target="colors117.xml"/><Relationship Id="rId1" Type="http://schemas.microsoft.com/office/2011/relationships/chartStyle" Target="style117.xml"/></Relationships>
</file>

<file path=xl/charts/_rels/chart118.xml.rels><?xml version="1.0" encoding="UTF-8" standalone="yes"?>
<Relationships xmlns="http://schemas.openxmlformats.org/package/2006/relationships"><Relationship Id="rId2" Type="http://schemas.microsoft.com/office/2011/relationships/chartColorStyle" Target="colors118.xml"/><Relationship Id="rId1" Type="http://schemas.microsoft.com/office/2011/relationships/chartStyle" Target="style118.xml"/></Relationships>
</file>

<file path=xl/charts/_rels/chart119.xml.rels><?xml version="1.0" encoding="UTF-8" standalone="yes"?>
<Relationships xmlns="http://schemas.openxmlformats.org/package/2006/relationships"><Relationship Id="rId2" Type="http://schemas.microsoft.com/office/2011/relationships/chartColorStyle" Target="colors119.xml"/><Relationship Id="rId1" Type="http://schemas.microsoft.com/office/2011/relationships/chartStyle" Target="style11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0.xml.rels><?xml version="1.0" encoding="UTF-8" standalone="yes"?>
<Relationships xmlns="http://schemas.openxmlformats.org/package/2006/relationships"><Relationship Id="rId2" Type="http://schemas.microsoft.com/office/2011/relationships/chartColorStyle" Target="colors120.xml"/><Relationship Id="rId1" Type="http://schemas.microsoft.com/office/2011/relationships/chartStyle" Target="style12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Cítricos (CCAA): Representatividad 2019</a:t>
            </a:r>
            <a:r>
              <a:rPr lang="es-ES" baseline="0"/>
              <a:t> vs 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Representatividad 2019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1182116172788896E-17"/>
                  <c:y val="0.168824914545227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3429254566097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161151054793171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0743403652878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1510789628083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(Cítricos!$G$5,Cítricos!$G$16,Cítricos!$G$24,Cítricos!$G$37,Cítricos!$G$42)</c:f>
              <c:numCache>
                <c:formatCode>0%</c:formatCode>
                <c:ptCount val="5"/>
                <c:pt idx="0">
                  <c:v>0.78958914082406662</c:v>
                </c:pt>
                <c:pt idx="1">
                  <c:v>0.69943591128303084</c:v>
                </c:pt>
                <c:pt idx="2">
                  <c:v>0.9179437971213158</c:v>
                </c:pt>
                <c:pt idx="3">
                  <c:v>0.37707981220657277</c:v>
                </c:pt>
                <c:pt idx="4">
                  <c:v>0.68106227848101264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9-4298-8622-356926DD5E9B}"/>
            </c:ext>
          </c:extLst>
        </c:ser>
        <c:ser>
          <c:idx val="1"/>
          <c:order val="1"/>
          <c:tx>
            <c:v>Representatividad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4.2364232345577792E-17"/>
                  <c:y val="0.276258951074008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57074301693868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341486758966482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.15731412491714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253237371817840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(Cítricos!$H$5,Cítricos!$H$16,Cítricos!$H$24,Cítricos!$H$37,Cítricos!$H$42)</c:f>
              <c:numCache>
                <c:formatCode>0%</c:formatCode>
                <c:ptCount val="5"/>
                <c:pt idx="0">
                  <c:v>0.78815701623114998</c:v>
                </c:pt>
                <c:pt idx="1">
                  <c:v>0.69886629624508134</c:v>
                </c:pt>
                <c:pt idx="2">
                  <c:v>0.90214732295100575</c:v>
                </c:pt>
                <c:pt idx="3">
                  <c:v>0.36598591549295767</c:v>
                </c:pt>
                <c:pt idx="4">
                  <c:v>0.6785273876939486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D9-4298-8622-356926DD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142464"/>
        <c:axId val="-83141920"/>
        <c:axId val="0"/>
      </c:bar3DChart>
      <c:catAx>
        <c:axId val="-831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83141920"/>
        <c:crosses val="autoZero"/>
        <c:auto val="1"/>
        <c:lblAlgn val="ctr"/>
        <c:lblOffset val="100"/>
        <c:noMultiLvlLbl val="0"/>
      </c:catAx>
      <c:valAx>
        <c:axId val="-83141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8314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0" i="0" u="none" strike="noStrike" baseline="0">
                <a:effectLst/>
              </a:rPr>
              <a:t>Datos: RSU REGEPA 2019 vs 2020 en Cítricos (ha)</a:t>
            </a:r>
            <a:endParaRPr lang="es-E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'NAR-REPR'!$C$52</c:f>
              <c:strCache>
                <c:ptCount val="1"/>
                <c:pt idx="0">
                  <c:v>RSU REGEPA 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'NAR-REPR'!$A$53:$A$56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'NAR-REPR'!$C$53:$C$56</c:f>
              <c:numCache>
                <c:formatCode>#,##0</c:formatCode>
                <c:ptCount val="4"/>
                <c:pt idx="0">
                  <c:v>106686.83999999998</c:v>
                </c:pt>
                <c:pt idx="1">
                  <c:v>79556.490000000093</c:v>
                </c:pt>
                <c:pt idx="2">
                  <c:v>26295.989999999983</c:v>
                </c:pt>
                <c:pt idx="3">
                  <c:v>1889.5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E6-46C6-987E-172CB6911559}"/>
            </c:ext>
          </c:extLst>
        </c:ser>
        <c:ser>
          <c:idx val="1"/>
          <c:order val="1"/>
          <c:tx>
            <c:strRef>
              <c:f>'NAR-REPR'!$D$52</c:f>
              <c:strCache>
                <c:ptCount val="1"/>
                <c:pt idx="0">
                  <c:v>RSU REGEPA 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7777777777777776E-2"/>
                  <c:y val="0"/>
                </c:manualLayout>
              </c:layout>
              <c:tx>
                <c:rich>
                  <a:bodyPr/>
                  <a:lstStyle/>
                  <a:p>
                    <a:fld id="{0B1B1D56-A1C8-4900-A1E8-CE2D54B1B9A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E6-46C6-987E-172CB69115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5000000000000001E-2"/>
                  <c:y val="0"/>
                </c:manualLayout>
              </c:layout>
              <c:tx>
                <c:rich>
                  <a:bodyPr/>
                  <a:lstStyle/>
                  <a:p>
                    <a:fld id="{01184394-AB36-4D16-B997-E60E2BE922B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3E6-46C6-987E-172CB69115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-3.3333333333333333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73E6FDD2-6C60-40D4-8874-B305882DB9D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E6-46C6-987E-172CB69115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3.0555555555555555E-2"/>
                  <c:y val="-8.4875562720133283E-17"/>
                </c:manualLayout>
              </c:layout>
              <c:tx>
                <c:rich>
                  <a:bodyPr/>
                  <a:lstStyle/>
                  <a:p>
                    <a:fld id="{CE394645-4B33-461E-9F39-BCD0BA2D535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3E6-46C6-987E-172CB6911559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'NAR-REPR'!$A$53:$A$56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'NAR-REPR'!$D$53:$D$56</c:f>
              <c:numCache>
                <c:formatCode>#,##0</c:formatCode>
                <c:ptCount val="4"/>
                <c:pt idx="0">
                  <c:v>107183.61000000013</c:v>
                </c:pt>
                <c:pt idx="1">
                  <c:v>78989.869999999981</c:v>
                </c:pt>
                <c:pt idx="2">
                  <c:v>27152.959999999999</c:v>
                </c:pt>
                <c:pt idx="3">
                  <c:v>2073.42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3E6-46C6-987E-172CB6911559}"/>
            </c:ext>
            <c:ext xmlns:c15="http://schemas.microsoft.com/office/drawing/2012/chart" uri="{02D57815-91ED-43cb-92C2-25804820EDAC}">
              <c15:datalabelsRange>
                <c15:f>'NAR-REPR'!$E$53:$E$56</c15:f>
                <c15:dlblRangeCache>
                  <c:ptCount val="4"/>
                  <c:pt idx="0">
                    <c:v>0,5%</c:v>
                  </c:pt>
                  <c:pt idx="1">
                    <c:v>-0,7%</c:v>
                  </c:pt>
                  <c:pt idx="2">
                    <c:v>3,3%</c:v>
                  </c:pt>
                  <c:pt idx="3">
                    <c:v>9,7%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94576"/>
        <c:axId val="-34372816"/>
      </c:barChart>
      <c:catAx>
        <c:axId val="-3439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2816"/>
        <c:crosses val="autoZero"/>
        <c:auto val="1"/>
        <c:lblAlgn val="ctr"/>
        <c:lblOffset val="100"/>
        <c:noMultiLvlLbl val="0"/>
      </c:catAx>
      <c:valAx>
        <c:axId val="-3437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'NAR-EXPL'!$C$46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'NAR-EXPL'!$C$47:$C$56</c:f>
              <c:numCache>
                <c:formatCode>0%</c:formatCode>
                <c:ptCount val="10"/>
                <c:pt idx="0">
                  <c:v>9.3637325660952522E-2</c:v>
                </c:pt>
                <c:pt idx="1">
                  <c:v>9.5798909574046451E-2</c:v>
                </c:pt>
                <c:pt idx="2">
                  <c:v>0.33227487408507256</c:v>
                </c:pt>
                <c:pt idx="3">
                  <c:v>0.2252426702931867</c:v>
                </c:pt>
                <c:pt idx="4">
                  <c:v>0.25304622038674174</c:v>
                </c:pt>
                <c:pt idx="5">
                  <c:v>0.55841015929100279</c:v>
                </c:pt>
                <c:pt idx="6">
                  <c:v>0.17125819970221859</c:v>
                </c:pt>
                <c:pt idx="7">
                  <c:v>0.19092174217531618</c:v>
                </c:pt>
                <c:pt idx="8">
                  <c:v>4.4278770241903111E-2</c:v>
                </c:pt>
                <c:pt idx="9">
                  <c:v>3.5131128589559329E-2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22-4272-A545-ECC5F150B03E}"/>
            </c:ext>
          </c:extLst>
        </c:ser>
        <c:ser>
          <c:idx val="1"/>
          <c:order val="1"/>
          <c:tx>
            <c:strRef>
              <c:f>'NAR-EXPL'!$D$46</c:f>
              <c:strCache>
                <c:ptCount val="1"/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'NAR-EXPL'!$D$47:$D$56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22-4272-A545-ECC5F150B03E}"/>
            </c:ext>
          </c:extLst>
        </c:ser>
        <c:ser>
          <c:idx val="2"/>
          <c:order val="2"/>
          <c:tx>
            <c:strRef>
              <c:f>'NAR-EXPL'!$E$46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'NAR-EXPL'!$E$47:$E$56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22-4272-A545-ECC5F150B03E}"/>
            </c:ext>
          </c:extLst>
        </c:ser>
        <c:ser>
          <c:idx val="3"/>
          <c:order val="3"/>
          <c:tx>
            <c:strRef>
              <c:f>'NAR-EXPL'!$F$46</c:f>
              <c:strCache>
                <c:ptCount val="1"/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'NAR-EXPL'!$F$47:$F$56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22-4272-A545-ECC5F150B03E}"/>
            </c:ext>
          </c:extLst>
        </c:ser>
        <c:ser>
          <c:idx val="4"/>
          <c:order val="4"/>
          <c:tx>
            <c:strRef>
              <c:f>'NAR-EXPL'!$G$46</c:f>
              <c:strCache>
                <c:ptCount val="1"/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'NAR-EXPL'!$G$47:$G$56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22-4272-A545-ECC5F150B03E}"/>
            </c:ext>
          </c:extLst>
        </c:ser>
        <c:ser>
          <c:idx val="5"/>
          <c:order val="5"/>
          <c:tx>
            <c:strRef>
              <c:f>'NAR-EXPL'!$H$46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'NAR-EXPL'!$H$47:$H$56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22-4272-A545-ECC5F150B03E}"/>
            </c:ext>
          </c:extLst>
        </c:ser>
        <c:ser>
          <c:idx val="6"/>
          <c:order val="6"/>
          <c:tx>
            <c:strRef>
              <c:f>'NAR-EXPL'!$I$46</c:f>
              <c:strCache>
                <c:ptCount val="1"/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'NAR-EXPL'!$I$47:$I$56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22-4272-A545-ECC5F150B03E}"/>
            </c:ext>
          </c:extLst>
        </c:ser>
        <c:ser>
          <c:idx val="7"/>
          <c:order val="7"/>
          <c:tx>
            <c:strRef>
              <c:f>'NAR-EXPL'!$J$46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'NAR-EXPL'!$A$47:$B$56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'NAR-EXPL'!$J$47:$J$56</c:f>
              <c:numCache>
                <c:formatCode>0%</c:formatCode>
                <c:ptCount val="10"/>
                <c:pt idx="0">
                  <c:v>0.65737203972498093</c:v>
                </c:pt>
                <c:pt idx="1">
                  <c:v>0.13101604278074866</c:v>
                </c:pt>
                <c:pt idx="2">
                  <c:v>0.16329258976317801</c:v>
                </c:pt>
                <c:pt idx="3">
                  <c:v>3.6096256684491977E-2</c:v>
                </c:pt>
                <c:pt idx="4">
                  <c:v>1.2223071046600458E-2</c:v>
                </c:pt>
                <c:pt idx="5">
                  <c:v>0.91613802383698573</c:v>
                </c:pt>
                <c:pt idx="6">
                  <c:v>5.5747789311803152E-2</c:v>
                </c:pt>
                <c:pt idx="7">
                  <c:v>2.5903498654363706E-2</c:v>
                </c:pt>
                <c:pt idx="8">
                  <c:v>1.7781622452902729E-3</c:v>
                </c:pt>
                <c:pt idx="9">
                  <c:v>4.3252595155709344E-4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22-4272-A545-ECC5F150B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6002960"/>
        <c:axId val="-2055997520"/>
      </c:barChart>
      <c:catAx>
        <c:axId val="-205600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7520"/>
        <c:crosses val="autoZero"/>
        <c:auto val="1"/>
        <c:lblAlgn val="ctr"/>
        <c:lblOffset val="100"/>
        <c:noMultiLvlLbl val="0"/>
      </c:catAx>
      <c:valAx>
        <c:axId val="-205599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Estratificación</a:t>
            </a:r>
            <a:r>
              <a:rPr lang="es-ES" baseline="0"/>
              <a:t> de las explotaciones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'NAR-EXPL'!$AK$45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'NAR-EXPL'!$AI$46:$AJ$65</c:f>
              <c:multiLvlStrCache>
                <c:ptCount val="2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  <c:pt idx="15">
                    <c:v>0-5</c:v>
                  </c:pt>
                  <c:pt idx="16">
                    <c:v> 5-10</c:v>
                  </c:pt>
                  <c:pt idx="17">
                    <c:v> 10-40</c:v>
                  </c:pt>
                  <c:pt idx="18">
                    <c:v> 40-100</c:v>
                  </c:pt>
                  <c:pt idx="19">
                    <c:v>&gt;100</c:v>
                  </c:pt>
                </c:lvl>
                <c:lvl>
                  <c:pt idx="0">
                    <c:v>NARANJO</c:v>
                  </c:pt>
                  <c:pt idx="5">
                    <c:v>PEQUEÑOS CÍTRICOS</c:v>
                  </c:pt>
                  <c:pt idx="10">
                    <c:v>LIMONERO</c:v>
                  </c:pt>
                  <c:pt idx="15">
                    <c:v>POMELO</c:v>
                  </c:pt>
                </c:lvl>
              </c:multiLvlStrCache>
            </c:multiLvlStrRef>
          </c:cat>
          <c:val>
            <c:numRef>
              <c:f>'NAR-EXPL'!$AK$46:$AK$65</c:f>
              <c:numCache>
                <c:formatCode>0%</c:formatCode>
                <c:ptCount val="20"/>
                <c:pt idx="0">
                  <c:v>0.31179057671035915</c:v>
                </c:pt>
                <c:pt idx="1">
                  <c:v>0.13312513541540258</c:v>
                </c:pt>
                <c:pt idx="2">
                  <c:v>0.2659890709190933</c:v>
                </c:pt>
                <c:pt idx="3">
                  <c:v>0.1469717430041641</c:v>
                </c:pt>
                <c:pt idx="4">
                  <c:v>0.14212347395098082</c:v>
                </c:pt>
                <c:pt idx="5">
                  <c:v>0.39482348373932524</c:v>
                </c:pt>
                <c:pt idx="6">
                  <c:v>0.13347375677806544</c:v>
                </c:pt>
                <c:pt idx="7">
                  <c:v>0.23487334802939711</c:v>
                </c:pt>
                <c:pt idx="8">
                  <c:v>0.1376208013285167</c:v>
                </c:pt>
                <c:pt idx="9">
                  <c:v>9.9208610124695645E-2</c:v>
                </c:pt>
                <c:pt idx="10">
                  <c:v>0.23405965628395015</c:v>
                </c:pt>
                <c:pt idx="11">
                  <c:v>0.13564181118967228</c:v>
                </c:pt>
                <c:pt idx="12">
                  <c:v>0.28934253943922827</c:v>
                </c:pt>
                <c:pt idx="13">
                  <c:v>0.19553946956878215</c:v>
                </c:pt>
                <c:pt idx="14">
                  <c:v>0.14541652351836715</c:v>
                </c:pt>
                <c:pt idx="15">
                  <c:v>0.26988699231709357</c:v>
                </c:pt>
                <c:pt idx="16">
                  <c:v>0.20931167880731769</c:v>
                </c:pt>
                <c:pt idx="17">
                  <c:v>0.31625806558247133</c:v>
                </c:pt>
                <c:pt idx="18">
                  <c:v>0.14561435244403104</c:v>
                </c:pt>
                <c:pt idx="19">
                  <c:v>5.8928910849086497E-2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A-41CC-80DD-4C5ACD2573D1}"/>
            </c:ext>
          </c:extLst>
        </c:ser>
        <c:ser>
          <c:idx val="1"/>
          <c:order val="1"/>
          <c:tx>
            <c:strRef>
              <c:f>'NAR-EXPL'!$AL$45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'NAR-EXPL'!$AI$46:$AJ$65</c:f>
              <c:multiLvlStrCache>
                <c:ptCount val="2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  <c:pt idx="15">
                    <c:v>0-5</c:v>
                  </c:pt>
                  <c:pt idx="16">
                    <c:v> 5-10</c:v>
                  </c:pt>
                  <c:pt idx="17">
                    <c:v> 10-40</c:v>
                  </c:pt>
                  <c:pt idx="18">
                    <c:v> 40-100</c:v>
                  </c:pt>
                  <c:pt idx="19">
                    <c:v>&gt;100</c:v>
                  </c:pt>
                </c:lvl>
                <c:lvl>
                  <c:pt idx="0">
                    <c:v>NARANJO</c:v>
                  </c:pt>
                  <c:pt idx="5">
                    <c:v>PEQUEÑOS CÍTRICOS</c:v>
                  </c:pt>
                  <c:pt idx="10">
                    <c:v>LIMONERO</c:v>
                  </c:pt>
                  <c:pt idx="15">
                    <c:v>POMELO</c:v>
                  </c:pt>
                </c:lvl>
              </c:multiLvlStrCache>
            </c:multiLvlStrRef>
          </c:cat>
          <c:val>
            <c:numRef>
              <c:f>'NAR-EXPL'!$AL$46:$AL$65</c:f>
              <c:numCache>
                <c:formatCode>0.0%</c:formatCode>
                <c:ptCount val="20"/>
                <c:pt idx="0">
                  <c:v>0.86881453667694786</c:v>
                </c:pt>
                <c:pt idx="1">
                  <c:v>6.8224487059139069E-2</c:v>
                </c:pt>
                <c:pt idx="2">
                  <c:v>5.1662867104733806E-2</c:v>
                </c:pt>
                <c:pt idx="3">
                  <c:v>8.7166420812659247E-3</c:v>
                </c:pt>
                <c:pt idx="4">
                  <c:v>2.5814670779133698E-3</c:v>
                </c:pt>
                <c:pt idx="5">
                  <c:v>0.90444055944055946</c:v>
                </c:pt>
                <c:pt idx="6">
                  <c:v>5.3041958041958041E-2</c:v>
                </c:pt>
                <c:pt idx="7">
                  <c:v>3.4545454545454546E-2</c:v>
                </c:pt>
                <c:pt idx="8">
                  <c:v>6.1888111888111887E-3</c:v>
                </c:pt>
                <c:pt idx="9">
                  <c:v>1.7832167832167833E-3</c:v>
                </c:pt>
                <c:pt idx="10">
                  <c:v>0.80589970501474928</c:v>
                </c:pt>
                <c:pt idx="11">
                  <c:v>9.6361848574237949E-2</c:v>
                </c:pt>
                <c:pt idx="12">
                  <c:v>7.6302851524090456E-2</c:v>
                </c:pt>
                <c:pt idx="13">
                  <c:v>1.6519174041297935E-2</c:v>
                </c:pt>
                <c:pt idx="14">
                  <c:v>4.9164208456243851E-3</c:v>
                </c:pt>
                <c:pt idx="15">
                  <c:v>0.78669724770642202</c:v>
                </c:pt>
                <c:pt idx="16">
                  <c:v>0.12155963302752294</c:v>
                </c:pt>
                <c:pt idx="17">
                  <c:v>8.027522935779817E-2</c:v>
                </c:pt>
                <c:pt idx="18">
                  <c:v>9.1743119266055051E-3</c:v>
                </c:pt>
                <c:pt idx="19">
                  <c:v>2.2935779816513763E-3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A-41CC-80DD-4C5ACD257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6976"/>
        <c:axId val="-2055992080"/>
      </c:barChart>
      <c:catAx>
        <c:axId val="-20559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2080"/>
        <c:crosses val="autoZero"/>
        <c:auto val="1"/>
        <c:lblAlgn val="ctr"/>
        <c:lblOffset val="100"/>
        <c:noMultiLvlLbl val="0"/>
      </c:catAx>
      <c:valAx>
        <c:axId val="-20559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Estratificación de las explotaciones en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dLbls>
            <c:spPr>
              <a:gradFill flip="none" rotWithShape="1"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'NAR-EXPL'!$AI$66:$AJ$70</c:f>
              <c:multiLvlStrCache>
                <c:ptCount val="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</c:lvl>
                <c:lvl>
                  <c:pt idx="0">
                    <c:v>CITRICOS</c:v>
                  </c:pt>
                </c:lvl>
              </c:multiLvlStrCache>
            </c:multiLvlStrRef>
          </c:cat>
          <c:val>
            <c:numRef>
              <c:f>'NAR-EXPL'!$AK$66:$AK$70</c:f>
              <c:numCache>
                <c:formatCode>0%</c:formatCode>
                <c:ptCount val="5"/>
                <c:pt idx="0">
                  <c:v>0.302640177262682</c:v>
                </c:pt>
                <c:pt idx="1">
                  <c:v>0.15288809554761448</c:v>
                </c:pt>
                <c:pt idx="2">
                  <c:v>0.27661575599254751</c:v>
                </c:pt>
                <c:pt idx="3">
                  <c:v>0.15643659158637352</c:v>
                </c:pt>
                <c:pt idx="4">
                  <c:v>0.11141937961078252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AF-464C-B487-E60E6E81B574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gradFill flip="none" rotWithShape="1">
                <a:gsLst>
                  <a:gs pos="0">
                    <a:schemeClr val="accent4">
                      <a:lumMod val="5000"/>
                      <a:lumOff val="95000"/>
                    </a:schemeClr>
                  </a:gs>
                  <a:gs pos="74000">
                    <a:schemeClr val="accent4">
                      <a:lumMod val="45000"/>
                      <a:lumOff val="55000"/>
                    </a:schemeClr>
                  </a:gs>
                  <a:gs pos="83000">
                    <a:schemeClr val="accent4">
                      <a:lumMod val="45000"/>
                      <a:lumOff val="55000"/>
                    </a:schemeClr>
                  </a:gs>
                  <a:gs pos="100000">
                    <a:schemeClr val="accent4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'NAR-EXPL'!$AI$66:$AJ$70</c:f>
              <c:multiLvlStrCache>
                <c:ptCount val="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</c:lvl>
                <c:lvl>
                  <c:pt idx="0">
                    <c:v>CITRICOS</c:v>
                  </c:pt>
                </c:lvl>
              </c:multiLvlStrCache>
            </c:multiLvlStrRef>
          </c:cat>
          <c:val>
            <c:numRef>
              <c:f>'NAR-EXPL'!$AL$66:$AL$70</c:f>
              <c:numCache>
                <c:formatCode>0.0%</c:formatCode>
                <c:ptCount val="5"/>
                <c:pt idx="0">
                  <c:v>0.84146301220966957</c:v>
                </c:pt>
                <c:pt idx="1">
                  <c:v>8.4796981675714506E-2</c:v>
                </c:pt>
                <c:pt idx="2">
                  <c:v>6.0696600633019245E-2</c:v>
                </c:pt>
                <c:pt idx="3">
                  <c:v>1.0149734809495138E-2</c:v>
                </c:pt>
                <c:pt idx="4">
                  <c:v>2.8936706721014787E-3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AF-464C-B487-E60E6E81B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6002416"/>
        <c:axId val="-2056010576"/>
      </c:barChart>
      <c:catAx>
        <c:axId val="-205600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10576"/>
        <c:crosses val="autoZero"/>
        <c:auto val="1"/>
        <c:lblAlgn val="ctr"/>
        <c:lblOffset val="100"/>
        <c:noMultiLvlLbl val="0"/>
      </c:catAx>
      <c:valAx>
        <c:axId val="-205601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Pequeños cítricos: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 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'PC-EXPL'!$AC$4:$AG$4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'PC-EXPL'!$AC$21:$AG$21</c:f>
              <c:numCache>
                <c:formatCode>0%</c:formatCode>
                <c:ptCount val="5"/>
                <c:pt idx="0">
                  <c:v>0.39482348373932524</c:v>
                </c:pt>
                <c:pt idx="1">
                  <c:v>0.13347375677806544</c:v>
                </c:pt>
                <c:pt idx="2">
                  <c:v>0.23487334802939711</c:v>
                </c:pt>
                <c:pt idx="3">
                  <c:v>0.1376208013285167</c:v>
                </c:pt>
                <c:pt idx="4">
                  <c:v>9.9208610124695645E-2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CB-4793-8CB0-B467B1B493E3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'PC-EXPL'!$AC$42:$AG$42</c:f>
              <c:numCache>
                <c:formatCode>0%</c:formatCode>
                <c:ptCount val="5"/>
                <c:pt idx="0">
                  <c:v>0.90444055944055946</c:v>
                </c:pt>
                <c:pt idx="1">
                  <c:v>5.3041958041958041E-2</c:v>
                </c:pt>
                <c:pt idx="2">
                  <c:v>3.4545454545454546E-2</c:v>
                </c:pt>
                <c:pt idx="3">
                  <c:v>6.1888111888111887E-3</c:v>
                </c:pt>
                <c:pt idx="4">
                  <c:v>1.7832167832167833E-3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CB-4793-8CB0-B467B1B49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85008"/>
        <c:axId val="-2056005680"/>
      </c:barChart>
      <c:catAx>
        <c:axId val="-205598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5680"/>
        <c:crosses val="autoZero"/>
        <c:auto val="1"/>
        <c:lblAlgn val="ctr"/>
        <c:lblOffset val="100"/>
        <c:noMultiLvlLbl val="0"/>
      </c:catAx>
      <c:valAx>
        <c:axId val="-2056005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Andalucía, C.</a:t>
            </a:r>
            <a:r>
              <a:rPr lang="en-US" baseline="0"/>
              <a:t> Valenciana y Cataluña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'PC-EXPL'!$C$46:$C$60</c:f>
              <c:numCache>
                <c:formatCode>0%</c:formatCode>
                <c:ptCount val="15"/>
                <c:pt idx="0">
                  <c:v>6.3884105596622609E-2</c:v>
                </c:pt>
                <c:pt idx="1">
                  <c:v>6.9473012025922862E-2</c:v>
                </c:pt>
                <c:pt idx="2">
                  <c:v>0.26045235523020471</c:v>
                </c:pt>
                <c:pt idx="3">
                  <c:v>0.28822322325035404</c:v>
                </c:pt>
                <c:pt idx="4">
                  <c:v>0.31796730389689587</c:v>
                </c:pt>
                <c:pt idx="5">
                  <c:v>0.54287467246845411</c:v>
                </c:pt>
                <c:pt idx="6">
                  <c:v>0.15531961696962393</c:v>
                </c:pt>
                <c:pt idx="7">
                  <c:v>0.2044320158260772</c:v>
                </c:pt>
                <c:pt idx="8">
                  <c:v>6.4901920167319549E-2</c:v>
                </c:pt>
                <c:pt idx="9">
                  <c:v>3.2471774568525236E-2</c:v>
                </c:pt>
                <c:pt idx="10">
                  <c:v>0.2758224939395475</c:v>
                </c:pt>
                <c:pt idx="11">
                  <c:v>0.13645300549868328</c:v>
                </c:pt>
                <c:pt idx="12">
                  <c:v>0.27624378552805873</c:v>
                </c:pt>
                <c:pt idx="13">
                  <c:v>0.20355035697515456</c:v>
                </c:pt>
                <c:pt idx="14">
                  <c:v>0.10793035805855593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91-4E68-9D8B-150F0BFF0915}"/>
            </c:ext>
          </c:extLst>
        </c:ser>
        <c:ser>
          <c:idx val="1"/>
          <c:order val="1"/>
          <c:tx>
            <c:strRef>
              <c:f>'PC-EXPL'!$D$45</c:f>
              <c:strCache>
                <c:ptCount val="1"/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'PC-EXPL'!$D$46:$D$60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91-4E68-9D8B-150F0BFF0915}"/>
            </c:ext>
          </c:extLst>
        </c:ser>
        <c:ser>
          <c:idx val="2"/>
          <c:order val="2"/>
          <c:tx>
            <c:strRef>
              <c:f>'PC-EXPL'!$E$45</c:f>
              <c:strCache>
                <c:ptCount val="1"/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'PC-EXPL'!$E$46:$E$60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91-4E68-9D8B-150F0BFF0915}"/>
            </c:ext>
          </c:extLst>
        </c:ser>
        <c:ser>
          <c:idx val="3"/>
          <c:order val="3"/>
          <c:tx>
            <c:strRef>
              <c:f>'PC-EXPL'!$F$45</c:f>
              <c:strCache>
                <c:ptCount val="1"/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'PC-EXPL'!$F$46:$F$60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191-4E68-9D8B-150F0BFF0915}"/>
            </c:ext>
          </c:extLst>
        </c:ser>
        <c:ser>
          <c:idx val="4"/>
          <c:order val="4"/>
          <c:tx>
            <c:strRef>
              <c:f>'PC-EXPL'!$G$45</c:f>
              <c:strCache>
                <c:ptCount val="1"/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'PC-EXPL'!$G$46:$G$60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191-4E68-9D8B-150F0BFF0915}"/>
            </c:ext>
          </c:extLst>
        </c:ser>
        <c:ser>
          <c:idx val="5"/>
          <c:order val="5"/>
          <c:tx>
            <c:strRef>
              <c:f>'PC-EXPL'!$H$45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'PC-EXPL'!$H$46:$H$60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191-4E68-9D8B-150F0BFF0915}"/>
            </c:ext>
          </c:extLst>
        </c:ser>
        <c:ser>
          <c:idx val="6"/>
          <c:order val="6"/>
          <c:tx>
            <c:strRef>
              <c:f>'PC-EXPL'!$I$45</c:f>
              <c:strCache>
                <c:ptCount val="1"/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'PC-EXPL'!$I$46:$I$60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191-4E68-9D8B-150F0BFF0915}"/>
            </c:ext>
          </c:extLst>
        </c:ser>
        <c:ser>
          <c:idx val="7"/>
          <c:order val="7"/>
          <c:tx>
            <c:strRef>
              <c:f>'PC-EXPL'!$J$45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'PC-EXPL'!$J$46:$J$60</c:f>
              <c:numCache>
                <c:formatCode>0%</c:formatCode>
                <c:ptCount val="15"/>
                <c:pt idx="0">
                  <c:v>0.59610027855153203</c:v>
                </c:pt>
                <c:pt idx="1">
                  <c:v>0.13370473537604458</c:v>
                </c:pt>
                <c:pt idx="2">
                  <c:v>0.17827298050139276</c:v>
                </c:pt>
                <c:pt idx="3">
                  <c:v>6.313834726090993E-2</c:v>
                </c:pt>
                <c:pt idx="4">
                  <c:v>2.8783658310120707E-2</c:v>
                </c:pt>
                <c:pt idx="5">
                  <c:v>0.92741263734084334</c:v>
                </c:pt>
                <c:pt idx="6">
                  <c:v>4.6447979056760937E-2</c:v>
                </c:pt>
                <c:pt idx="7">
                  <c:v>2.3402483043116099E-2</c:v>
                </c:pt>
                <c:pt idx="8">
                  <c:v>2.3005830788148029E-3</c:v>
                </c:pt>
                <c:pt idx="9">
                  <c:v>4.3631748046487647E-4</c:v>
                </c:pt>
                <c:pt idx="10">
                  <c:v>0.87034949267192785</c:v>
                </c:pt>
                <c:pt idx="11">
                  <c:v>6.5952649379932352E-2</c:v>
                </c:pt>
                <c:pt idx="12">
                  <c:v>4.9041713641488162E-2</c:v>
                </c:pt>
                <c:pt idx="13">
                  <c:v>1.1837655016910935E-2</c:v>
                </c:pt>
                <c:pt idx="14">
                  <c:v>2.8184892897406989E-3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191-4E68-9D8B-150F0BFF0915}"/>
            </c:ext>
          </c:extLst>
        </c:ser>
        <c:ser>
          <c:idx val="8"/>
          <c:order val="8"/>
          <c:tx>
            <c:strRef>
              <c:f>'PC-EXPL'!$K$45</c:f>
              <c:strCache>
                <c:ptCount val="1"/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'PC-EXPL'!$K$46:$K$60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D-4097-8BEA-B610B1F0DAC3}"/>
            </c:ext>
          </c:extLst>
        </c:ser>
        <c:ser>
          <c:idx val="9"/>
          <c:order val="9"/>
          <c:tx>
            <c:strRef>
              <c:f>'PC-EXPL'!$L$45</c:f>
              <c:strCache>
                <c:ptCount val="1"/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'PC-EXPL'!$L$46:$L$60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AD-4097-8BEA-B610B1F0DAC3}"/>
            </c:ext>
          </c:extLst>
        </c:ser>
        <c:ser>
          <c:idx val="10"/>
          <c:order val="10"/>
          <c:tx>
            <c:strRef>
              <c:f>'PC-EXPL'!$M$45</c:f>
              <c:strCache>
                <c:ptCount val="1"/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'PC-EXPL'!$M$46:$M$60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AD-4097-8BEA-B610B1F0DAC3}"/>
            </c:ext>
          </c:extLst>
        </c:ser>
        <c:ser>
          <c:idx val="11"/>
          <c:order val="11"/>
          <c:tx>
            <c:strRef>
              <c:f>'PC-EXPL'!$N$45</c:f>
              <c:strCache>
                <c:ptCount val="1"/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'PC-EXPL'!$N$46:$N$60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AD-4097-8BEA-B610B1F0DAC3}"/>
            </c:ext>
          </c:extLst>
        </c:ser>
        <c:ser>
          <c:idx val="12"/>
          <c:order val="12"/>
          <c:tx>
            <c:strRef>
              <c:f>'PC-EXPL'!$O$45</c:f>
              <c:strCache>
                <c:ptCount val="1"/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'PC-EXPL'!$O$46:$O$60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AD-4097-8BEA-B610B1F0DAC3}"/>
            </c:ext>
          </c:extLst>
        </c:ser>
        <c:ser>
          <c:idx val="13"/>
          <c:order val="13"/>
          <c:tx>
            <c:strRef>
              <c:f>'PC-EXPL'!$P$45</c:f>
              <c:strCache>
                <c:ptCount val="1"/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'PC-EXPL'!$P$46:$P$60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7AD-4097-8BEA-B610B1F0DAC3}"/>
            </c:ext>
          </c:extLst>
        </c:ser>
        <c:ser>
          <c:idx val="14"/>
          <c:order val="14"/>
          <c:tx>
            <c:strRef>
              <c:f>'PC-EXPL'!$Q$45</c:f>
              <c:strCache>
                <c:ptCount val="1"/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'PC-EXPL'!$Q$46:$Q$60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7AD-4097-8BEA-B610B1F0DAC3}"/>
            </c:ext>
          </c:extLst>
        </c:ser>
        <c:ser>
          <c:idx val="15"/>
          <c:order val="15"/>
          <c:tx>
            <c:strRef>
              <c:f>'PC-EXPL'!$R$45</c:f>
              <c:strCache>
                <c:ptCount val="1"/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'PC-EXPL'!$R$46:$R$60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7AD-4097-8BEA-B610B1F0DAC3}"/>
            </c:ext>
          </c:extLst>
        </c:ser>
        <c:ser>
          <c:idx val="16"/>
          <c:order val="16"/>
          <c:tx>
            <c:strRef>
              <c:f>'PC-EXPL'!$S$45</c:f>
              <c:strCache>
                <c:ptCount val="1"/>
              </c:strCache>
            </c:strRef>
          </c:tx>
          <c:spPr>
            <a:solidFill>
              <a:schemeClr val="accent1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'PC-EXPL'!$S$46:$S$60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AD-4097-8BEA-B610B1F0DAC3}"/>
            </c:ext>
          </c:extLst>
        </c:ser>
        <c:ser>
          <c:idx val="17"/>
          <c:order val="17"/>
          <c:tx>
            <c:strRef>
              <c:f>'PC-EXPL'!$T$45</c:f>
              <c:strCache>
                <c:ptCount val="1"/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'PC-EXPL'!$T$46:$T$60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7AD-4097-8BEA-B610B1F0DAC3}"/>
            </c:ext>
          </c:extLst>
        </c:ser>
        <c:ser>
          <c:idx val="18"/>
          <c:order val="18"/>
          <c:tx>
            <c:strRef>
              <c:f>'PC-EXPL'!$U$45</c:f>
              <c:strCache>
                <c:ptCount val="1"/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'PC-EXPL'!$U$46:$U$60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7AD-4097-8BEA-B610B1F0DAC3}"/>
            </c:ext>
          </c:extLst>
        </c:ser>
        <c:ser>
          <c:idx val="19"/>
          <c:order val="19"/>
          <c:tx>
            <c:strRef>
              <c:f>'PC-EXPL'!$V$45</c:f>
              <c:strCache>
                <c:ptCount val="1"/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'PC-EXPL'!$A$46:$B$60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CATALUÑA</c:v>
                  </c:pt>
                </c:lvl>
              </c:multiLvlStrCache>
            </c:multiLvlStrRef>
          </c:cat>
          <c:val>
            <c:numRef>
              <c:f>'PC-EXPL'!$V$46:$V$60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AD-4097-8BEA-B610B1F0D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6000784"/>
        <c:axId val="-2055999152"/>
      </c:barChart>
      <c:catAx>
        <c:axId val="-205600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9152"/>
        <c:crosses val="autoZero"/>
        <c:auto val="1"/>
        <c:lblAlgn val="ctr"/>
        <c:lblOffset val="100"/>
        <c:noMultiLvlLbl val="0"/>
      </c:catAx>
      <c:valAx>
        <c:axId val="-205599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Clementinas: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'CLE-EXPL'!$AC$4:$AG$4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'CLE-EXPL'!$AC$21:$AG$21</c:f>
              <c:numCache>
                <c:formatCode>0%</c:formatCode>
                <c:ptCount val="5"/>
                <c:pt idx="0">
                  <c:v>0.45787676428111479</c:v>
                </c:pt>
                <c:pt idx="1">
                  <c:v>0.15834431742360919</c:v>
                </c:pt>
                <c:pt idx="2">
                  <c:v>0.20961179598083748</c:v>
                </c:pt>
                <c:pt idx="3">
                  <c:v>9.6218660166560194E-2</c:v>
                </c:pt>
                <c:pt idx="4">
                  <c:v>7.794846214787822E-2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7C-417D-9C40-363C0CE22DFA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'CLE-EXPL'!$AC$4:$AG$4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'CLE-EXPL'!$AC$42:$AG$42</c:f>
              <c:numCache>
                <c:formatCode>0%</c:formatCode>
                <c:ptCount val="5"/>
                <c:pt idx="0">
                  <c:v>0.89811892437823504</c:v>
                </c:pt>
                <c:pt idx="1">
                  <c:v>6.1987122838025502E-2</c:v>
                </c:pt>
                <c:pt idx="2">
                  <c:v>3.4086605226612804E-2</c:v>
                </c:pt>
                <c:pt idx="3">
                  <c:v>4.4186340108572147E-3</c:v>
                </c:pt>
                <c:pt idx="4">
                  <c:v>1.3887135462694105E-3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E7C-417D-9C40-363C0CE2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6011120"/>
        <c:axId val="-2055984464"/>
      </c:barChart>
      <c:catAx>
        <c:axId val="-205601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4464"/>
        <c:crosses val="autoZero"/>
        <c:auto val="1"/>
        <c:lblAlgn val="ctr"/>
        <c:lblOffset val="100"/>
        <c:noMultiLvlLbl val="0"/>
      </c:catAx>
      <c:valAx>
        <c:axId val="-205598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1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'CLE-EXPL'!$C$46:$C$55</c:f>
              <c:numCache>
                <c:formatCode>0%</c:formatCode>
                <c:ptCount val="10"/>
                <c:pt idx="0">
                  <c:v>4.6171698721392505E-2</c:v>
                </c:pt>
                <c:pt idx="1">
                  <c:v>7.2028938791590558E-2</c:v>
                </c:pt>
                <c:pt idx="2">
                  <c:v>0.22298628272626339</c:v>
                </c:pt>
                <c:pt idx="3">
                  <c:v>0.28154865513412841</c:v>
                </c:pt>
                <c:pt idx="4">
                  <c:v>0.37726442462662513</c:v>
                </c:pt>
                <c:pt idx="5">
                  <c:v>0.545413788461516</c:v>
                </c:pt>
                <c:pt idx="6">
                  <c:v>0.17223013068840076</c:v>
                </c:pt>
                <c:pt idx="7">
                  <c:v>0.18905236852462776</c:v>
                </c:pt>
                <c:pt idx="8">
                  <c:v>5.2099497693263157E-2</c:v>
                </c:pt>
                <c:pt idx="9">
                  <c:v>4.1204214632192225E-2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D2-49A7-B868-7E5BFB77B5F6}"/>
            </c:ext>
          </c:extLst>
        </c:ser>
        <c:ser>
          <c:idx val="1"/>
          <c:order val="1"/>
          <c:tx>
            <c:strRef>
              <c:f>'CLE-EXPL'!$D$45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1D2-49A7-B868-7E5BFB77B5F6}"/>
            </c:ext>
          </c:extLst>
        </c:ser>
        <c:ser>
          <c:idx val="2"/>
          <c:order val="2"/>
          <c:tx>
            <c:strRef>
              <c:f>'CLE-EXPL'!$E$45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1D2-49A7-B868-7E5BFB77B5F6}"/>
            </c:ext>
          </c:extLst>
        </c:ser>
        <c:ser>
          <c:idx val="3"/>
          <c:order val="3"/>
          <c:tx>
            <c:strRef>
              <c:f>'CLE-EXPL'!$F$45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1D2-49A7-B868-7E5BFB77B5F6}"/>
            </c:ext>
          </c:extLst>
        </c:ser>
        <c:ser>
          <c:idx val="4"/>
          <c:order val="4"/>
          <c:tx>
            <c:strRef>
              <c:f>'CLE-EXPL'!$G$45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D2-49A7-B868-7E5BFB77B5F6}"/>
            </c:ext>
          </c:extLst>
        </c:ser>
        <c:ser>
          <c:idx val="5"/>
          <c:order val="5"/>
          <c:tx>
            <c:strRef>
              <c:f>'CLE-EXPL'!$H$45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1D2-49A7-B868-7E5BFB77B5F6}"/>
            </c:ext>
          </c:extLst>
        </c:ser>
        <c:ser>
          <c:idx val="6"/>
          <c:order val="6"/>
          <c:tx>
            <c:strRef>
              <c:f>'CLE-EXPL'!$I$45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1D2-49A7-B868-7E5BFB77B5F6}"/>
            </c:ext>
          </c:extLst>
        </c:ser>
        <c:ser>
          <c:idx val="7"/>
          <c:order val="7"/>
          <c:tx>
            <c:strRef>
              <c:f>'CLE-EXPL'!$J$45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'CLE-EXPL'!$A$46:$B$55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'CLE-EXPL'!$J$46:$J$55</c:f>
              <c:numCache>
                <c:formatCode>0%</c:formatCode>
                <c:ptCount val="10"/>
                <c:pt idx="0">
                  <c:v>0.54418604651162794</c:v>
                </c:pt>
                <c:pt idx="1">
                  <c:v>0.15348837209302327</c:v>
                </c:pt>
                <c:pt idx="2">
                  <c:v>0.19534883720930232</c:v>
                </c:pt>
                <c:pt idx="3">
                  <c:v>6.9767441860465115E-2</c:v>
                </c:pt>
                <c:pt idx="4">
                  <c:v>3.7209302325581395E-2</c:v>
                </c:pt>
                <c:pt idx="5">
                  <c:v>0.91168555240793203</c:v>
                </c:pt>
                <c:pt idx="6">
                  <c:v>5.8640226628895183E-2</c:v>
                </c:pt>
                <c:pt idx="7">
                  <c:v>2.6841359773371105E-2</c:v>
                </c:pt>
                <c:pt idx="8">
                  <c:v>2.1954674220963171E-3</c:v>
                </c:pt>
                <c:pt idx="9">
                  <c:v>6.3739376770538243E-4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D1D2-49A7-B868-7E5BFB77B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81200"/>
        <c:axId val="-2056005136"/>
      </c:barChart>
      <c:catAx>
        <c:axId val="-205598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5136"/>
        <c:crosses val="autoZero"/>
        <c:auto val="1"/>
        <c:lblAlgn val="ctr"/>
        <c:lblOffset val="100"/>
        <c:noMultiLvlLbl val="0"/>
      </c:catAx>
      <c:valAx>
        <c:axId val="-20560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'MAN-EXPL'!$AC$25:$AG$25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'MAN-EXPL'!$AC$21:$AG$21</c:f>
              <c:numCache>
                <c:formatCode>0%</c:formatCode>
                <c:ptCount val="5"/>
                <c:pt idx="0">
                  <c:v>0.12234081986859864</c:v>
                </c:pt>
                <c:pt idx="1">
                  <c:v>9.7624384351751567E-2</c:v>
                </c:pt>
                <c:pt idx="2">
                  <c:v>0.28713387073455005</c:v>
                </c:pt>
                <c:pt idx="3">
                  <c:v>0.28706382044419076</c:v>
                </c:pt>
                <c:pt idx="4">
                  <c:v>0.20583710460090909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17-4F5B-93A0-50125683E35F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'MAN-EXPL'!$AC$25:$AG$25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'MAN-EXPL'!$AC$42:$AG$42</c:f>
              <c:numCache>
                <c:formatCode>0%</c:formatCode>
                <c:ptCount val="5"/>
                <c:pt idx="0">
                  <c:v>0.75363276089828268</c:v>
                </c:pt>
                <c:pt idx="1">
                  <c:v>0.10039630118890357</c:v>
                </c:pt>
                <c:pt idx="2">
                  <c:v>0.10369881109643329</c:v>
                </c:pt>
                <c:pt idx="3">
                  <c:v>3.2364597093791282E-2</c:v>
                </c:pt>
                <c:pt idx="4">
                  <c:v>9.9075297225891673E-3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17-4F5B-93A0-50125683E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5888"/>
        <c:axId val="-2056009488"/>
      </c:barChart>
      <c:catAx>
        <c:axId val="-2055995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9488"/>
        <c:crosses val="autoZero"/>
        <c:auto val="1"/>
        <c:lblAlgn val="ctr"/>
        <c:lblOffset val="100"/>
        <c:noMultiLvlLbl val="0"/>
      </c:catAx>
      <c:valAx>
        <c:axId val="-205600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5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'MAN-EXPL'!$C$46:$C$55</c:f>
              <c:numCache>
                <c:formatCode>0%</c:formatCode>
                <c:ptCount val="10"/>
                <c:pt idx="0">
                  <c:v>8.2657229946488303E-2</c:v>
                </c:pt>
                <c:pt idx="1">
                  <c:v>7.8738469966053215E-2</c:v>
                </c:pt>
                <c:pt idx="2">
                  <c:v>0.28476368123284534</c:v>
                </c:pt>
                <c:pt idx="3">
                  <c:v>0.29325569582081018</c:v>
                </c:pt>
                <c:pt idx="4">
                  <c:v>0.26058492303380298</c:v>
                </c:pt>
                <c:pt idx="5">
                  <c:v>0.59808291049043716</c:v>
                </c:pt>
                <c:pt idx="6">
                  <c:v>0.28868899035101253</c:v>
                </c:pt>
                <c:pt idx="7">
                  <c:v>0.1132280991585502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F7-40B4-BB78-3C086D50F54C}"/>
            </c:ext>
          </c:extLst>
        </c:ser>
        <c:ser>
          <c:idx val="1"/>
          <c:order val="1"/>
          <c:tx>
            <c:strRef>
              <c:f>'MAN-EXPL'!$D$45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F7-40B4-BB78-3C086D50F54C}"/>
            </c:ext>
          </c:extLst>
        </c:ser>
        <c:ser>
          <c:idx val="2"/>
          <c:order val="2"/>
          <c:tx>
            <c:strRef>
              <c:f>'MAN-EXPL'!$E$45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F7-40B4-BB78-3C086D50F54C}"/>
            </c:ext>
          </c:extLst>
        </c:ser>
        <c:ser>
          <c:idx val="3"/>
          <c:order val="3"/>
          <c:tx>
            <c:strRef>
              <c:f>'MAN-EXPL'!$F$45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F7-40B4-BB78-3C086D50F54C}"/>
            </c:ext>
          </c:extLst>
        </c:ser>
        <c:ser>
          <c:idx val="4"/>
          <c:order val="4"/>
          <c:tx>
            <c:strRef>
              <c:f>'MAN-EXPL'!$G$45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F7-40B4-BB78-3C086D50F54C}"/>
            </c:ext>
          </c:extLst>
        </c:ser>
        <c:ser>
          <c:idx val="5"/>
          <c:order val="5"/>
          <c:tx>
            <c:strRef>
              <c:f>'MAN-EXPL'!$H$45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4F7-40B4-BB78-3C086D50F54C}"/>
            </c:ext>
          </c:extLst>
        </c:ser>
        <c:ser>
          <c:idx val="6"/>
          <c:order val="6"/>
          <c:tx>
            <c:strRef>
              <c:f>'MAN-EXPL'!$I$45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4F7-40B4-BB78-3C086D50F54C}"/>
            </c:ext>
          </c:extLst>
        </c:ser>
        <c:ser>
          <c:idx val="7"/>
          <c:order val="7"/>
          <c:tx>
            <c:strRef>
              <c:f>'MAN-EXPL'!$J$45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'MAN-EXPL'!$A$46:$B$55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'MAN-EXPL'!$J$46:$J$55</c:f>
              <c:numCache>
                <c:formatCode>0%</c:formatCode>
                <c:ptCount val="10"/>
                <c:pt idx="0">
                  <c:v>0.62545454545454549</c:v>
                </c:pt>
                <c:pt idx="1">
                  <c:v>0.13272727272727272</c:v>
                </c:pt>
                <c:pt idx="2">
                  <c:v>0.16545454545454547</c:v>
                </c:pt>
                <c:pt idx="3">
                  <c:v>5.4545454545454543E-2</c:v>
                </c:pt>
                <c:pt idx="4">
                  <c:v>2.181818181818182E-2</c:v>
                </c:pt>
                <c:pt idx="5">
                  <c:v>0.9285714285714286</c:v>
                </c:pt>
                <c:pt idx="6">
                  <c:v>6.3186813186813184E-2</c:v>
                </c:pt>
                <c:pt idx="7">
                  <c:v>8.241758241758242E-3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24F7-40B4-BB78-3C086D50F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79024"/>
        <c:axId val="-2055998608"/>
      </c:barChart>
      <c:catAx>
        <c:axId val="-205597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8608"/>
        <c:crosses val="autoZero"/>
        <c:auto val="1"/>
        <c:lblAlgn val="ctr"/>
        <c:lblOffset val="100"/>
        <c:noMultiLvlLbl val="0"/>
      </c:catAx>
      <c:valAx>
        <c:axId val="-205599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79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 híbrido: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'MH-EXPL'!$AC$25:$AG$25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'MH-EXPL'!$AC$21:$AG$21</c:f>
              <c:numCache>
                <c:formatCode>0%</c:formatCode>
                <c:ptCount val="5"/>
                <c:pt idx="0">
                  <c:v>0.36116192372099759</c:v>
                </c:pt>
                <c:pt idx="1">
                  <c:v>0.11483440836618529</c:v>
                </c:pt>
                <c:pt idx="2">
                  <c:v>0.24165275524519395</c:v>
                </c:pt>
                <c:pt idx="3">
                  <c:v>0.16947167948084946</c:v>
                </c:pt>
                <c:pt idx="4">
                  <c:v>0.11287923318677369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F-4DE7-877D-4CBB49C71B32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'MH-EXPL'!$AC$25:$AG$25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'MH-EXPL'!$AC$42:$AG$42</c:f>
              <c:numCache>
                <c:formatCode>0%</c:formatCode>
                <c:ptCount val="5"/>
                <c:pt idx="0">
                  <c:v>0.91189790037052287</c:v>
                </c:pt>
                <c:pt idx="1">
                  <c:v>4.4051049814738577E-2</c:v>
                </c:pt>
                <c:pt idx="2">
                  <c:v>3.4719363249622617E-2</c:v>
                </c:pt>
                <c:pt idx="3">
                  <c:v>7.4104569781803208E-3</c:v>
                </c:pt>
                <c:pt idx="4">
                  <c:v>1.9212295869356388E-3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F-4DE7-877D-4CBB49C71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87184"/>
        <c:axId val="-2055979568"/>
      </c:barChart>
      <c:catAx>
        <c:axId val="-205598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79568"/>
        <c:crosses val="autoZero"/>
        <c:auto val="1"/>
        <c:lblAlgn val="ctr"/>
        <c:lblOffset val="100"/>
        <c:noMultiLvlLbl val="0"/>
      </c:catAx>
      <c:valAx>
        <c:axId val="-205597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7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RSU REGEPA 2020 Cítricos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7742132233470818"/>
          <c:y val="0.23998889567964465"/>
          <c:w val="0.45531608548931385"/>
          <c:h val="0.6999733766848623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3C-4C3C-9992-77048F8D6AD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3C-4C3C-9992-77048F8D6AD3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3C-4C3C-9992-77048F8D6AD3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3C-4C3C-9992-77048F8D6AD3}"/>
              </c:ext>
            </c:extLst>
          </c:dPt>
          <c:dLbls>
            <c:dLbl>
              <c:idx val="0"/>
              <c:layout>
                <c:manualLayout>
                  <c:x val="-0.19927889013873265"/>
                  <c:y val="1.429542902888230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3C-4C3C-9992-77048F8D6A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9024291963504561"/>
                  <c:y val="-8.66410599153709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3C-4C3C-9992-77048F8D6AD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'NAR-REPR'!$A$53:$A$56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'NAR-REPR'!$D$53:$D$56</c:f>
              <c:numCache>
                <c:formatCode>#,##0</c:formatCode>
                <c:ptCount val="4"/>
                <c:pt idx="0">
                  <c:v>107183.61000000013</c:v>
                </c:pt>
                <c:pt idx="1">
                  <c:v>78989.869999999981</c:v>
                </c:pt>
                <c:pt idx="2">
                  <c:v>27152.959999999999</c:v>
                </c:pt>
                <c:pt idx="3">
                  <c:v>2073.42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3C-4C3C-9992-77048F8D6AD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'MH-EXPL'!$C$46:$C$55</c:f>
              <c:numCache>
                <c:formatCode>0%</c:formatCode>
                <c:ptCount val="10"/>
                <c:pt idx="0">
                  <c:v>4.5472113277321251E-2</c:v>
                </c:pt>
                <c:pt idx="1">
                  <c:v>4.8741924291467745E-2</c:v>
                </c:pt>
                <c:pt idx="2">
                  <c:v>0.22174764700973693</c:v>
                </c:pt>
                <c:pt idx="3">
                  <c:v>0.30629718607398687</c:v>
                </c:pt>
                <c:pt idx="4">
                  <c:v>0.3777411293474871</c:v>
                </c:pt>
                <c:pt idx="5">
                  <c:v>0.49308035394168809</c:v>
                </c:pt>
                <c:pt idx="6">
                  <c:v>0.13591188744998503</c:v>
                </c:pt>
                <c:pt idx="7">
                  <c:v>0.24363494460886562</c:v>
                </c:pt>
                <c:pt idx="8">
                  <c:v>0.10359353617878547</c:v>
                </c:pt>
                <c:pt idx="9">
                  <c:v>2.3779277820675696E-2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D1-441A-A356-BB79AA77D0B6}"/>
            </c:ext>
          </c:extLst>
        </c:ser>
        <c:ser>
          <c:idx val="1"/>
          <c:order val="1"/>
          <c:tx>
            <c:strRef>
              <c:f>'MH-EXPL'!$D$45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D1-441A-A356-BB79AA77D0B6}"/>
            </c:ext>
          </c:extLst>
        </c:ser>
        <c:ser>
          <c:idx val="2"/>
          <c:order val="2"/>
          <c:tx>
            <c:strRef>
              <c:f>'MH-EXPL'!$E$45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D1-441A-A356-BB79AA77D0B6}"/>
            </c:ext>
          </c:extLst>
        </c:ser>
        <c:ser>
          <c:idx val="3"/>
          <c:order val="3"/>
          <c:tx>
            <c:strRef>
              <c:f>'MH-EXPL'!$F$45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D1-441A-A356-BB79AA77D0B6}"/>
            </c:ext>
          </c:extLst>
        </c:ser>
        <c:ser>
          <c:idx val="4"/>
          <c:order val="4"/>
          <c:tx>
            <c:strRef>
              <c:f>'MH-EXPL'!$G$45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D1-441A-A356-BB79AA77D0B6}"/>
            </c:ext>
          </c:extLst>
        </c:ser>
        <c:ser>
          <c:idx val="5"/>
          <c:order val="5"/>
          <c:tx>
            <c:strRef>
              <c:f>'MH-EXPL'!$H$45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D1-441A-A356-BB79AA77D0B6}"/>
            </c:ext>
          </c:extLst>
        </c:ser>
        <c:ser>
          <c:idx val="6"/>
          <c:order val="6"/>
          <c:tx>
            <c:strRef>
              <c:f>'MH-EXPL'!$I$45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D1-441A-A356-BB79AA77D0B6}"/>
            </c:ext>
          </c:extLst>
        </c:ser>
        <c:ser>
          <c:idx val="7"/>
          <c:order val="7"/>
          <c:tx>
            <c:strRef>
              <c:f>'MH-EXPL'!$J$45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'MH-EXPL'!$A$46:$B$55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'MH-EXPL'!$J$46:$J$55</c:f>
              <c:numCache>
                <c:formatCode>0%</c:formatCode>
                <c:ptCount val="10"/>
                <c:pt idx="0">
                  <c:v>0.5625</c:v>
                </c:pt>
                <c:pt idx="1">
                  <c:v>0.11764705882352941</c:v>
                </c:pt>
                <c:pt idx="2">
                  <c:v>0.19485294117647059</c:v>
                </c:pt>
                <c:pt idx="3">
                  <c:v>8.455882352941177E-2</c:v>
                </c:pt>
                <c:pt idx="4">
                  <c:v>4.0441176470588237E-2</c:v>
                </c:pt>
                <c:pt idx="5">
                  <c:v>0.93100423914632369</c:v>
                </c:pt>
                <c:pt idx="6">
                  <c:v>3.9029381669346587E-2</c:v>
                </c:pt>
                <c:pt idx="7">
                  <c:v>2.6311942698435901E-2</c:v>
                </c:pt>
                <c:pt idx="8">
                  <c:v>3.3620815670223651E-3</c:v>
                </c:pt>
                <c:pt idx="9">
                  <c:v>2.9235491887151001E-4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D1-441A-A356-BB79AA77D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0992"/>
        <c:axId val="-2055995344"/>
      </c:barChart>
      <c:catAx>
        <c:axId val="-205599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5344"/>
        <c:crosses val="autoZero"/>
        <c:auto val="1"/>
        <c:lblAlgn val="ctr"/>
        <c:lblOffset val="100"/>
        <c:noMultiLvlLbl val="0"/>
      </c:catAx>
      <c:valAx>
        <c:axId val="-205599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Satsumas: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'SAT-EXPL'!$AC$25:$AG$25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'SAT-EXPL'!$AC$21:$AG$21</c:f>
              <c:numCache>
                <c:formatCode>0%</c:formatCode>
                <c:ptCount val="5"/>
                <c:pt idx="0">
                  <c:v>0.69226265496904804</c:v>
                </c:pt>
                <c:pt idx="1">
                  <c:v>9.3864930886261008E-2</c:v>
                </c:pt>
                <c:pt idx="2">
                  <c:v>0.16054365021281222</c:v>
                </c:pt>
                <c:pt idx="3">
                  <c:v>5.33287639318787E-2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8B-482C-B459-42F589DC709D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'SAT-EXPL'!$AC$25:$AG$25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'SAT-EXPL'!$AC$42:$AG$42</c:f>
              <c:numCache>
                <c:formatCode>0%</c:formatCode>
                <c:ptCount val="5"/>
                <c:pt idx="0">
                  <c:v>0.97371746272428605</c:v>
                </c:pt>
                <c:pt idx="1">
                  <c:v>1.5668435683598686E-2</c:v>
                </c:pt>
                <c:pt idx="2">
                  <c:v>9.6032347738185496E-3</c:v>
                </c:pt>
                <c:pt idx="3">
                  <c:v>1.0108668182966893E-3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8B-482C-B459-42F589DC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4800"/>
        <c:axId val="-2056008944"/>
      </c:barChart>
      <c:catAx>
        <c:axId val="-205599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8944"/>
        <c:crosses val="autoZero"/>
        <c:auto val="1"/>
        <c:lblAlgn val="ctr"/>
        <c:lblOffset val="100"/>
        <c:noMultiLvlLbl val="0"/>
      </c:catAx>
      <c:valAx>
        <c:axId val="-205600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'SAT-EXPL'!$C$45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'SAT-EXPL'!$C$46:$C$55</c:f>
              <c:numCache>
                <c:formatCode>0%</c:formatCode>
                <c:ptCount val="10"/>
                <c:pt idx="0">
                  <c:v>0.17717567736296669</c:v>
                </c:pt>
                <c:pt idx="1">
                  <c:v>0.19448953260914803</c:v>
                </c:pt>
                <c:pt idx="2">
                  <c:v>0.62833479002788539</c:v>
                </c:pt>
                <c:pt idx="3">
                  <c:v>0</c:v>
                </c:pt>
                <c:pt idx="4">
                  <c:v>0</c:v>
                </c:pt>
                <c:pt idx="5">
                  <c:v>0.73983272173621828</c:v>
                </c:pt>
                <c:pt idx="6">
                  <c:v>8.5644379323626299E-2</c:v>
                </c:pt>
                <c:pt idx="7">
                  <c:v>0.11655938157123315</c:v>
                </c:pt>
                <c:pt idx="8">
                  <c:v>5.7963517368922329E-2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B0-4527-8E68-F3258F874306}"/>
            </c:ext>
          </c:extLst>
        </c:ser>
        <c:ser>
          <c:idx val="1"/>
          <c:order val="1"/>
          <c:tx>
            <c:strRef>
              <c:f>'SAT-EXPL'!$D$45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'SAT-EXPL'!$D$46:$D$55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B0-4527-8E68-F3258F874306}"/>
            </c:ext>
          </c:extLst>
        </c:ser>
        <c:ser>
          <c:idx val="2"/>
          <c:order val="2"/>
          <c:tx>
            <c:strRef>
              <c:f>'SAT-EXPL'!$E$45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'SAT-EXPL'!$E$46:$E$55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1B0-4527-8E68-F3258F874306}"/>
            </c:ext>
          </c:extLst>
        </c:ser>
        <c:ser>
          <c:idx val="3"/>
          <c:order val="3"/>
          <c:tx>
            <c:strRef>
              <c:f>'SAT-EXPL'!$F$45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'SAT-EXPL'!$F$46:$F$55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1B0-4527-8E68-F3258F874306}"/>
            </c:ext>
          </c:extLst>
        </c:ser>
        <c:ser>
          <c:idx val="4"/>
          <c:order val="4"/>
          <c:tx>
            <c:strRef>
              <c:f>'SAT-EXPL'!$G$45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'SAT-EXPL'!$G$46:$G$55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B0-4527-8E68-F3258F874306}"/>
            </c:ext>
          </c:extLst>
        </c:ser>
        <c:ser>
          <c:idx val="5"/>
          <c:order val="5"/>
          <c:tx>
            <c:strRef>
              <c:f>'SAT-EXPL'!$H$45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'SAT-EXPL'!$H$46:$H$55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1B0-4527-8E68-F3258F874306}"/>
            </c:ext>
          </c:extLst>
        </c:ser>
        <c:ser>
          <c:idx val="6"/>
          <c:order val="6"/>
          <c:tx>
            <c:strRef>
              <c:f>'SAT-EXPL'!$I$45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'SAT-EXPL'!$I$46:$I$55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1B0-4527-8E68-F3258F874306}"/>
            </c:ext>
          </c:extLst>
        </c:ser>
        <c:ser>
          <c:idx val="7"/>
          <c:order val="7"/>
          <c:tx>
            <c:strRef>
              <c:f>'SAT-EXPL'!$J$45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'SAT-EXPL'!$A$46:$B$55</c:f>
              <c:multiLvlStrCache>
                <c:ptCount val="10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</c:lvl>
              </c:multiLvlStrCache>
            </c:multiLvlStrRef>
          </c:cat>
          <c:val>
            <c:numRef>
              <c:f>'SAT-EXPL'!$J$46:$J$55</c:f>
              <c:numCache>
                <c:formatCode>0%</c:formatCode>
                <c:ptCount val="10"/>
                <c:pt idx="0">
                  <c:v>0.7</c:v>
                </c:pt>
                <c:pt idx="1">
                  <c:v>0.15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0.97812660833762222</c:v>
                </c:pt>
                <c:pt idx="6">
                  <c:v>1.3638703036541432E-2</c:v>
                </c:pt>
                <c:pt idx="7">
                  <c:v>7.205352547606794E-3</c:v>
                </c:pt>
                <c:pt idx="8">
                  <c:v>1.029336078229542E-3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1B0-4527-8E68-F3258F874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8064"/>
        <c:axId val="-2055982288"/>
      </c:barChart>
      <c:catAx>
        <c:axId val="-205599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2288"/>
        <c:crosses val="autoZero"/>
        <c:auto val="1"/>
        <c:lblAlgn val="ctr"/>
        <c:lblOffset val="100"/>
        <c:noMultiLvlLbl val="0"/>
      </c:catAx>
      <c:valAx>
        <c:axId val="-20559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Limonero: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'LIM-EXPL'!$AC$4:$AG$4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'LIM-EXPL'!$AC$21:$AG$21</c:f>
              <c:numCache>
                <c:formatCode>0%</c:formatCode>
                <c:ptCount val="5"/>
                <c:pt idx="0">
                  <c:v>0.23405965628395015</c:v>
                </c:pt>
                <c:pt idx="1">
                  <c:v>0.13564181118967228</c:v>
                </c:pt>
                <c:pt idx="2">
                  <c:v>0.28934253943922827</c:v>
                </c:pt>
                <c:pt idx="3">
                  <c:v>0.19553946956878215</c:v>
                </c:pt>
                <c:pt idx="4">
                  <c:v>0.14541652351836715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6C-4225-B120-C4F54EB5323C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'LIM-EXPL'!$AC$4:$AG$4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'LIM-EXPL'!$AC$42:$AG$42</c:f>
              <c:numCache>
                <c:formatCode>0%</c:formatCode>
                <c:ptCount val="5"/>
                <c:pt idx="0">
                  <c:v>0.80589970501474928</c:v>
                </c:pt>
                <c:pt idx="1">
                  <c:v>9.6361848574237949E-2</c:v>
                </c:pt>
                <c:pt idx="2">
                  <c:v>7.6302851524090456E-2</c:v>
                </c:pt>
                <c:pt idx="3">
                  <c:v>1.6519174041297935E-2</c:v>
                </c:pt>
                <c:pt idx="4">
                  <c:v>4.9164208456243851E-3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96C-4225-B120-C4F54EB53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86096"/>
        <c:axId val="-2056000240"/>
      </c:barChart>
      <c:catAx>
        <c:axId val="-205598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0240"/>
        <c:crosses val="autoZero"/>
        <c:auto val="1"/>
        <c:lblAlgn val="ctr"/>
        <c:lblOffset val="100"/>
        <c:noMultiLvlLbl val="0"/>
      </c:catAx>
      <c:valAx>
        <c:axId val="-205600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6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Andalucía,</a:t>
            </a:r>
            <a:r>
              <a:rPr lang="es-ES" baseline="0"/>
              <a:t> C. Valenciana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'LIM-EXPL'!$C$46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'LIM-EXPL'!$C$47:$C$61</c:f>
              <c:numCache>
                <c:formatCode>0%</c:formatCode>
                <c:ptCount val="15"/>
                <c:pt idx="0">
                  <c:v>0.27715951815524953</c:v>
                </c:pt>
                <c:pt idx="1">
                  <c:v>0.17924910309427589</c:v>
                </c:pt>
                <c:pt idx="2">
                  <c:v>0.38632151934721187</c:v>
                </c:pt>
                <c:pt idx="3">
                  <c:v>0.15726985940326269</c:v>
                </c:pt>
                <c:pt idx="4">
                  <c:v>0</c:v>
                </c:pt>
                <c:pt idx="5">
                  <c:v>0.28850008551720657</c:v>
                </c:pt>
                <c:pt idx="6">
                  <c:v>0.16550016100166939</c:v>
                </c:pt>
                <c:pt idx="7">
                  <c:v>0.28102750596470599</c:v>
                </c:pt>
                <c:pt idx="8">
                  <c:v>0.14710985282440889</c:v>
                </c:pt>
                <c:pt idx="9">
                  <c:v>0.11786239469200915</c:v>
                </c:pt>
                <c:pt idx="10">
                  <c:v>0.18615749864248798</c:v>
                </c:pt>
                <c:pt idx="11">
                  <c:v>0.10689467407668048</c:v>
                </c:pt>
                <c:pt idx="12">
                  <c:v>0.26808290033938131</c:v>
                </c:pt>
                <c:pt idx="13">
                  <c:v>0.23932936188796736</c:v>
                </c:pt>
                <c:pt idx="14">
                  <c:v>0.19953556505348277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FA0-4CAE-8BBB-A7F5C518DAAC}"/>
            </c:ext>
          </c:extLst>
        </c:ser>
        <c:ser>
          <c:idx val="1"/>
          <c:order val="1"/>
          <c:tx>
            <c:strRef>
              <c:f>'LIM-EXPL'!$D$46</c:f>
              <c:strCache>
                <c:ptCount val="1"/>
              </c:strCache>
            </c:strRef>
          </c:tx>
          <c:spPr>
            <a:solidFill>
              <a:schemeClr val="accent5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'LIM-EXPL'!$D$47:$D$61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FA0-4CAE-8BBB-A7F5C518DAAC}"/>
            </c:ext>
          </c:extLst>
        </c:ser>
        <c:ser>
          <c:idx val="2"/>
          <c:order val="2"/>
          <c:tx>
            <c:strRef>
              <c:f>'LIM-EXPL'!$E$46</c:f>
              <c:strCache>
                <c:ptCount val="1"/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'LIM-EXPL'!$E$47:$E$61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FA0-4CAE-8BBB-A7F5C518DAAC}"/>
            </c:ext>
          </c:extLst>
        </c:ser>
        <c:ser>
          <c:idx val="3"/>
          <c:order val="3"/>
          <c:tx>
            <c:strRef>
              <c:f>'LIM-EXPL'!$F$46</c:f>
              <c:strCache>
                <c:ptCount val="1"/>
              </c:strCache>
            </c:strRef>
          </c:tx>
          <c:spPr>
            <a:solidFill>
              <a:schemeClr val="accent5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'LIM-EXPL'!$F$47:$F$61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FA0-4CAE-8BBB-A7F5C518DAAC}"/>
            </c:ext>
          </c:extLst>
        </c:ser>
        <c:ser>
          <c:idx val="4"/>
          <c:order val="4"/>
          <c:tx>
            <c:strRef>
              <c:f>'LIM-EXPL'!$G$46</c:f>
              <c:strCache>
                <c:ptCount val="1"/>
              </c:strCache>
            </c:strRef>
          </c:tx>
          <c:spPr>
            <a:solidFill>
              <a:schemeClr val="accent5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'LIM-EXPL'!$G$47:$G$61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FA0-4CAE-8BBB-A7F5C518DAAC}"/>
            </c:ext>
          </c:extLst>
        </c:ser>
        <c:ser>
          <c:idx val="5"/>
          <c:order val="5"/>
          <c:tx>
            <c:strRef>
              <c:f>'LIM-EXPL'!$H$46</c:f>
              <c:strCache>
                <c:ptCount val="1"/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'LIM-EXPL'!$H$47:$H$61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FA0-4CAE-8BBB-A7F5C518DAAC}"/>
            </c:ext>
          </c:extLst>
        </c:ser>
        <c:ser>
          <c:idx val="6"/>
          <c:order val="6"/>
          <c:tx>
            <c:strRef>
              <c:f>'LIM-EXPL'!$I$46</c:f>
              <c:strCache>
                <c:ptCount val="1"/>
              </c:strCache>
            </c:strRef>
          </c:tx>
          <c:spPr>
            <a:solidFill>
              <a:schemeClr val="accent5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'LIM-EXPL'!$I$47:$I$61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FA0-4CAE-8BBB-A7F5C518DAAC}"/>
            </c:ext>
          </c:extLst>
        </c:ser>
        <c:ser>
          <c:idx val="7"/>
          <c:order val="7"/>
          <c:tx>
            <c:strRef>
              <c:f>'LIM-EXPL'!$J$46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'LIM-EXPL'!$A$47:$B$61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'LIM-EXPL'!$J$47:$J$61</c:f>
              <c:numCache>
                <c:formatCode>0%</c:formatCode>
                <c:ptCount val="15"/>
                <c:pt idx="0">
                  <c:v>0.83201803833145438</c:v>
                </c:pt>
                <c:pt idx="1">
                  <c:v>9.0191657271702363E-2</c:v>
                </c:pt>
                <c:pt idx="2">
                  <c:v>6.8771138669673049E-2</c:v>
                </c:pt>
                <c:pt idx="3">
                  <c:v>9.0191657271702363E-3</c:v>
                </c:pt>
                <c:pt idx="4">
                  <c:v>0</c:v>
                </c:pt>
                <c:pt idx="5">
                  <c:v>0.83393665158371044</c:v>
                </c:pt>
                <c:pt idx="6">
                  <c:v>9.4117647058823528E-2</c:v>
                </c:pt>
                <c:pt idx="7">
                  <c:v>5.8371040723981901E-2</c:v>
                </c:pt>
                <c:pt idx="8">
                  <c:v>9.9547511312217188E-3</c:v>
                </c:pt>
                <c:pt idx="9">
                  <c:v>3.6199095022624436E-3</c:v>
                </c:pt>
                <c:pt idx="10">
                  <c:v>0.74685620557681798</c:v>
                </c:pt>
                <c:pt idx="11">
                  <c:v>0.10934937124111536</c:v>
                </c:pt>
                <c:pt idx="12">
                  <c:v>0.10497539639147074</c:v>
                </c:pt>
                <c:pt idx="13">
                  <c:v>2.9524330235101148E-2</c:v>
                </c:pt>
                <c:pt idx="14">
                  <c:v>9.2946965554948063E-3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FA0-4CAE-8BBB-A7F5C518D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9696"/>
        <c:axId val="-2055983920"/>
      </c:barChart>
      <c:catAx>
        <c:axId val="-205599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3920"/>
        <c:crosses val="autoZero"/>
        <c:auto val="1"/>
        <c:lblAlgn val="ctr"/>
        <c:lblOffset val="100"/>
        <c:noMultiLvlLbl val="0"/>
      </c:catAx>
      <c:valAx>
        <c:axId val="-205598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Superficie vs NºExplotaciones (España)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strRef>
              <c:f>'POM-EXPL'!$AC$25:$AG$25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'POM-EXPL'!$AC$21:$AG$21</c:f>
              <c:numCache>
                <c:formatCode>0%</c:formatCode>
                <c:ptCount val="5"/>
                <c:pt idx="0">
                  <c:v>0.26988699231709357</c:v>
                </c:pt>
                <c:pt idx="1">
                  <c:v>0.20931167880731769</c:v>
                </c:pt>
                <c:pt idx="2">
                  <c:v>0.31625806558247133</c:v>
                </c:pt>
                <c:pt idx="3">
                  <c:v>0.14561435244403104</c:v>
                </c:pt>
                <c:pt idx="4">
                  <c:v>5.8928910849086497E-2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F3-4E7F-AD10-BD47731FE9FE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'POM-EXPL'!$AC$25:$AG$25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'POM-EXPL'!$AC$42:$AG$42</c:f>
              <c:numCache>
                <c:formatCode>0%</c:formatCode>
                <c:ptCount val="5"/>
                <c:pt idx="0">
                  <c:v>0.78669724770642202</c:v>
                </c:pt>
                <c:pt idx="1">
                  <c:v>0.12155963302752294</c:v>
                </c:pt>
                <c:pt idx="2">
                  <c:v>8.027522935779817E-2</c:v>
                </c:pt>
                <c:pt idx="3">
                  <c:v>9.1743119266055051E-3</c:v>
                </c:pt>
                <c:pt idx="4">
                  <c:v>2.2935779816513763E-3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F3-4E7F-AD10-BD47731FE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0448"/>
        <c:axId val="-2055987728"/>
      </c:barChart>
      <c:catAx>
        <c:axId val="-2055990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7728"/>
        <c:crosses val="autoZero"/>
        <c:auto val="1"/>
        <c:lblAlgn val="ctr"/>
        <c:lblOffset val="100"/>
        <c:noMultiLvlLbl val="0"/>
      </c:catAx>
      <c:valAx>
        <c:axId val="-20559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0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Andalucía,</a:t>
            </a:r>
            <a:r>
              <a:rPr lang="es-ES" baseline="0"/>
              <a:t> C. Valenciana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'POM-EXPL'!$C$46</c:f>
              <c:strCache>
                <c:ptCount val="1"/>
                <c:pt idx="0">
                  <c:v>Superficie</c:v>
                </c:pt>
              </c:strCache>
            </c:strRef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'POM-EXPL'!$C$47:$C$61</c:f>
              <c:numCache>
                <c:formatCode>0%</c:formatCode>
                <c:ptCount val="15"/>
                <c:pt idx="0">
                  <c:v>0.29999373708273314</c:v>
                </c:pt>
                <c:pt idx="1">
                  <c:v>0.21427005699254714</c:v>
                </c:pt>
                <c:pt idx="2">
                  <c:v>0.33497213001816245</c:v>
                </c:pt>
                <c:pt idx="3">
                  <c:v>0.15076407590655727</c:v>
                </c:pt>
                <c:pt idx="4">
                  <c:v>0</c:v>
                </c:pt>
                <c:pt idx="5">
                  <c:v>0.38009498925027874</c:v>
                </c:pt>
                <c:pt idx="6">
                  <c:v>0.33616579941866964</c:v>
                </c:pt>
                <c:pt idx="7">
                  <c:v>0.28373921133105162</c:v>
                </c:pt>
                <c:pt idx="8">
                  <c:v>0</c:v>
                </c:pt>
                <c:pt idx="9">
                  <c:v>0</c:v>
                </c:pt>
                <c:pt idx="10">
                  <c:v>0.18556363109158414</c:v>
                </c:pt>
                <c:pt idx="11">
                  <c:v>0.14774869043941979</c:v>
                </c:pt>
                <c:pt idx="12">
                  <c:v>0.32003076127861019</c:v>
                </c:pt>
                <c:pt idx="13">
                  <c:v>0.21181157456143113</c:v>
                </c:pt>
                <c:pt idx="14">
                  <c:v>0.13484534262895467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11-4EE8-96FC-EAB876D96620}"/>
            </c:ext>
          </c:extLst>
        </c:ser>
        <c:ser>
          <c:idx val="1"/>
          <c:order val="1"/>
          <c:tx>
            <c:strRef>
              <c:f>'POM-EXPL'!$D$46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'POM-EXPL'!$D$47:$D$61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11-4EE8-96FC-EAB876D96620}"/>
            </c:ext>
          </c:extLst>
        </c:ser>
        <c:ser>
          <c:idx val="2"/>
          <c:order val="2"/>
          <c:tx>
            <c:strRef>
              <c:f>'POM-EXPL'!$E$46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'POM-EXPL'!$E$47:$E$61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11-4EE8-96FC-EAB876D96620}"/>
            </c:ext>
          </c:extLst>
        </c:ser>
        <c:ser>
          <c:idx val="3"/>
          <c:order val="3"/>
          <c:tx>
            <c:strRef>
              <c:f>'POM-EXPL'!$F$46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'POM-EXPL'!$F$47:$F$61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911-4EE8-96FC-EAB876D96620}"/>
            </c:ext>
          </c:extLst>
        </c:ser>
        <c:ser>
          <c:idx val="4"/>
          <c:order val="4"/>
          <c:tx>
            <c:strRef>
              <c:f>'POM-EXPL'!$G$46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'POM-EXPL'!$G$47:$G$61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11-4EE8-96FC-EAB876D96620}"/>
            </c:ext>
          </c:extLst>
        </c:ser>
        <c:ser>
          <c:idx val="5"/>
          <c:order val="5"/>
          <c:tx>
            <c:strRef>
              <c:f>'POM-EXPL'!$H$46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'POM-EXPL'!$H$47:$H$61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911-4EE8-96FC-EAB876D96620}"/>
            </c:ext>
          </c:extLst>
        </c:ser>
        <c:ser>
          <c:idx val="6"/>
          <c:order val="6"/>
          <c:tx>
            <c:strRef>
              <c:f>'POM-EXPL'!$I$46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'POM-EXPL'!$I$47:$I$61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911-4EE8-96FC-EAB876D96620}"/>
            </c:ext>
          </c:extLst>
        </c:ser>
        <c:ser>
          <c:idx val="7"/>
          <c:order val="7"/>
          <c:tx>
            <c:strRef>
              <c:f>'POM-EXPL'!$J$46</c:f>
              <c:strCache>
                <c:ptCount val="1"/>
                <c:pt idx="0">
                  <c:v>Nº Explotaciones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'POM-EXPL'!$A$47:$B$61</c:f>
              <c:multiLvlStrCache>
                <c:ptCount val="15"/>
                <c:lvl>
                  <c:pt idx="0">
                    <c:v>0-5</c:v>
                  </c:pt>
                  <c:pt idx="1">
                    <c:v> 5-10</c:v>
                  </c:pt>
                  <c:pt idx="2">
                    <c:v> 10-40</c:v>
                  </c:pt>
                  <c:pt idx="3">
                    <c:v> 40-100</c:v>
                  </c:pt>
                  <c:pt idx="4">
                    <c:v>&gt;100</c:v>
                  </c:pt>
                  <c:pt idx="5">
                    <c:v>0-5</c:v>
                  </c:pt>
                  <c:pt idx="6">
                    <c:v> 5-10</c:v>
                  </c:pt>
                  <c:pt idx="7">
                    <c:v> 10-40</c:v>
                  </c:pt>
                  <c:pt idx="8">
                    <c:v> 40-100</c:v>
                  </c:pt>
                  <c:pt idx="9">
                    <c:v>&gt;100</c:v>
                  </c:pt>
                  <c:pt idx="10">
                    <c:v>0-5</c:v>
                  </c:pt>
                  <c:pt idx="11">
                    <c:v> 5-10</c:v>
                  </c:pt>
                  <c:pt idx="12">
                    <c:v> 10-40</c:v>
                  </c:pt>
                  <c:pt idx="13">
                    <c:v> 40-100</c:v>
                  </c:pt>
                  <c:pt idx="14">
                    <c:v>&gt;100</c:v>
                  </c:pt>
                </c:lvl>
                <c:lvl>
                  <c:pt idx="0">
                    <c:v>ANDALUCÍA</c:v>
                  </c:pt>
                  <c:pt idx="5">
                    <c:v>C. VALENCIANA</c:v>
                  </c:pt>
                  <c:pt idx="10">
                    <c:v>MURCIA</c:v>
                  </c:pt>
                </c:lvl>
              </c:multiLvlStrCache>
            </c:multiLvlStrRef>
          </c:cat>
          <c:val>
            <c:numRef>
              <c:f>'POM-EXPL'!$J$47:$J$61</c:f>
              <c:numCache>
                <c:formatCode>0%</c:formatCode>
                <c:ptCount val="15"/>
                <c:pt idx="0">
                  <c:v>0.72440944881889768</c:v>
                </c:pt>
                <c:pt idx="1">
                  <c:v>0.14960629921259844</c:v>
                </c:pt>
                <c:pt idx="2">
                  <c:v>0.11023622047244094</c:v>
                </c:pt>
                <c:pt idx="3">
                  <c:v>1.5748031496062992E-2</c:v>
                </c:pt>
                <c:pt idx="4">
                  <c:v>0</c:v>
                </c:pt>
                <c:pt idx="5">
                  <c:v>0.86885245901639341</c:v>
                </c:pt>
                <c:pt idx="6">
                  <c:v>9.8360655737704916E-2</c:v>
                </c:pt>
                <c:pt idx="7">
                  <c:v>3.2786885245901641E-2</c:v>
                </c:pt>
                <c:pt idx="8">
                  <c:v>0</c:v>
                </c:pt>
                <c:pt idx="9">
                  <c:v>0</c:v>
                </c:pt>
                <c:pt idx="10">
                  <c:v>0.7068965517241379</c:v>
                </c:pt>
                <c:pt idx="11">
                  <c:v>0.13793103448275862</c:v>
                </c:pt>
                <c:pt idx="12">
                  <c:v>0.12931034482758622</c:v>
                </c:pt>
                <c:pt idx="13">
                  <c:v>1.7241379310344827E-2</c:v>
                </c:pt>
                <c:pt idx="14">
                  <c:v>8.6206896551724137E-3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911-4EE8-96FC-EAB876D96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3712"/>
        <c:axId val="-2055978480"/>
      </c:barChart>
      <c:catAx>
        <c:axId val="-205599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78480"/>
        <c:crosses val="autoZero"/>
        <c:auto val="1"/>
        <c:lblAlgn val="ctr"/>
        <c:lblOffset val="100"/>
        <c:noMultiLvlLbl val="0"/>
      </c:catAx>
      <c:valAx>
        <c:axId val="-20559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3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NARANJO: Superficie plantada según tipo de variedades (ha) RSU REGEPA 2020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14133333333333334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39B5ADF-14FF-43E3-B99F-6BF5B9E7AC5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A07-466A-B563-2A32B225714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521F00E-D625-4B55-B811-F5B76B7DDA1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F8EA958-55E8-4120-AAD3-046B2399B378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55B-497B-969E-597AE1E711BE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B0C11A-50A5-4EA4-8C2C-26E1BAFE9D7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480E51-763B-42B6-96F5-7D3B049A4AD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91C332A-719D-4040-8BF8-9F2E3AB9AB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A07-466A-B563-2A32B225714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'NAR-VAR'!$B$5:$C$10</c:f>
              <c:multiLvlStrCache>
                <c:ptCount val="6"/>
                <c:lvl>
                  <c:pt idx="0">
                    <c:v>Media estación</c:v>
                  </c:pt>
                  <c:pt idx="1">
                    <c:v>Tardia</c:v>
                  </c:pt>
                  <c:pt idx="2">
                    <c:v>Media estación</c:v>
                  </c:pt>
                  <c:pt idx="3">
                    <c:v>Tardia</c:v>
                  </c:pt>
                  <c:pt idx="4">
                    <c:v>Temprana</c:v>
                  </c:pt>
                  <c:pt idx="5">
                    <c:v>Media estación</c:v>
                  </c:pt>
                </c:lvl>
                <c:lvl>
                  <c:pt idx="0">
                    <c:v>Blancas</c:v>
                  </c:pt>
                  <c:pt idx="2">
                    <c:v>Navel</c:v>
                  </c:pt>
                  <c:pt idx="5">
                    <c:v>Sanguinas</c:v>
                  </c:pt>
                </c:lvl>
              </c:multiLvlStrCache>
            </c:multiLvlStrRef>
          </c:cat>
          <c:val>
            <c:numRef>
              <c:f>'NAR-VAR'!$D$5:$D$10</c:f>
              <c:numCache>
                <c:formatCode>#,##0</c:formatCode>
                <c:ptCount val="6"/>
                <c:pt idx="0">
                  <c:v>9504.3900000000012</c:v>
                </c:pt>
                <c:pt idx="1">
                  <c:v>19631.280000000039</c:v>
                </c:pt>
                <c:pt idx="2">
                  <c:v>4218.7599999999948</c:v>
                </c:pt>
                <c:pt idx="3">
                  <c:v>39254.930000000015</c:v>
                </c:pt>
                <c:pt idx="4">
                  <c:v>29900.560000000019</c:v>
                </c:pt>
                <c:pt idx="5">
                  <c:v>983.64999999999975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DC-41D2-8292-8B83D1C4382B}"/>
            </c:ext>
            <c:ext xmlns:c15="http://schemas.microsoft.com/office/drawing/2012/chart" uri="{02D57815-91ED-43cb-92C2-25804820EDAC}">
              <c15:datalabelsRange>
                <c15:f>'NAR-VAR'!$E$5:$E$10</c15:f>
                <c15:dlblRangeCache>
                  <c:ptCount val="6"/>
                  <c:pt idx="0">
                    <c:v>8,9%</c:v>
                  </c:pt>
                  <c:pt idx="1">
                    <c:v>18,3%</c:v>
                  </c:pt>
                  <c:pt idx="2">
                    <c:v>3,9%</c:v>
                  </c:pt>
                  <c:pt idx="3">
                    <c:v>36,6%</c:v>
                  </c:pt>
                  <c:pt idx="4">
                    <c:v>27,9%</c:v>
                  </c:pt>
                  <c:pt idx="5">
                    <c:v>0,9%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5986640"/>
        <c:axId val="-2055993168"/>
      </c:barChart>
      <c:catAx>
        <c:axId val="-205598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3168"/>
        <c:crosses val="autoZero"/>
        <c:auto val="1"/>
        <c:lblAlgn val="ctr"/>
        <c:lblOffset val="100"/>
        <c:noMultiLvlLbl val="0"/>
      </c:catAx>
      <c:valAx>
        <c:axId val="-2055993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PEQUEÑOS CÍTRICOS: Superficie plantada según tipo de variedades (ha) RSU REGEPA 2020</a:t>
            </a:r>
            <a:endParaRPr lang="es-E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99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419B836-5CF7-4150-B474-7F82A234DC0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2380775A-BB6F-4F38-8799-BBE10D2F2DB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D6-4E75-B990-D7B8E4A62D7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47ACA88-A260-4252-9971-22749487FCC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51805CA-00D2-4CC2-B992-9BC8709C6B2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1404A6C-6DEB-403D-A2DD-F981A96E5F5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4D6-4E75-B990-D7B8E4A62D7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0DDABEF-B228-48F3-AE60-344DCD4ADEB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4ED6F97B-C2D9-4636-BF1B-EA6166B5C1F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18E745B6-FC59-4A7C-9720-61BBD1FE866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9E3D2404-8AE5-47CA-A222-8E0862B1305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7323F40-9838-4E6D-B595-EF94050CEE4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2F1-4156-8B62-1B1D88198F0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0546D470-151C-4086-9E4C-794EE9EF406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4D6-4E75-B990-D7B8E4A62D7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C26BEB78-8E96-46A8-8604-5BA975CFCF7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4D6-4E75-B990-D7B8E4A62D7D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'PC-VAR'!$B$5:$C$16</c:f>
              <c:multiLvlStrCache>
                <c:ptCount val="12"/>
                <c:lvl>
                  <c:pt idx="0">
                    <c:v>Media estación</c:v>
                  </c:pt>
                  <c:pt idx="1">
                    <c:v>Extratempranas</c:v>
                  </c:pt>
                  <c:pt idx="2">
                    <c:v>Temprana</c:v>
                  </c:pt>
                  <c:pt idx="3">
                    <c:v>Media estación</c:v>
                  </c:pt>
                  <c:pt idx="4">
                    <c:v>Tardia</c:v>
                  </c:pt>
                  <c:pt idx="5">
                    <c:v>Media estación</c:v>
                  </c:pt>
                  <c:pt idx="6">
                    <c:v>Temprana</c:v>
                  </c:pt>
                  <c:pt idx="7">
                    <c:v>Media estación</c:v>
                  </c:pt>
                  <c:pt idx="8">
                    <c:v>Tardia</c:v>
                  </c:pt>
                  <c:pt idx="9">
                    <c:v>Extratempranas</c:v>
                  </c:pt>
                  <c:pt idx="10">
                    <c:v>Temprana</c:v>
                  </c:pt>
                  <c:pt idx="11">
                    <c:v>Media estación</c:v>
                  </c:pt>
                </c:lvl>
                <c:lvl>
                  <c:pt idx="0">
                    <c:v>Blancas</c:v>
                  </c:pt>
                  <c:pt idx="1">
                    <c:v>Clementinas</c:v>
                  </c:pt>
                  <c:pt idx="5">
                    <c:v>Mandarino</c:v>
                  </c:pt>
                  <c:pt idx="6">
                    <c:v>Mandarinos híbridos</c:v>
                  </c:pt>
                  <c:pt idx="9">
                    <c:v>Satsumas</c:v>
                  </c:pt>
                </c:lvl>
              </c:multiLvlStrCache>
            </c:multiLvlStrRef>
          </c:cat>
          <c:val>
            <c:numRef>
              <c:f>'PC-VAR'!$D$5:$D$16</c:f>
              <c:numCache>
                <c:formatCode>#,##0</c:formatCode>
                <c:ptCount val="12"/>
                <c:pt idx="0">
                  <c:v>7.5500000000000016</c:v>
                </c:pt>
                <c:pt idx="1">
                  <c:v>2891.1499999999996</c:v>
                </c:pt>
                <c:pt idx="2">
                  <c:v>9586.69</c:v>
                </c:pt>
                <c:pt idx="3">
                  <c:v>27708.649999999998</c:v>
                </c:pt>
                <c:pt idx="4">
                  <c:v>2322.3399999999997</c:v>
                </c:pt>
                <c:pt idx="5">
                  <c:v>4942.8300000000072</c:v>
                </c:pt>
                <c:pt idx="6">
                  <c:v>45.959999999999994</c:v>
                </c:pt>
                <c:pt idx="7">
                  <c:v>13753.550000000005</c:v>
                </c:pt>
                <c:pt idx="8">
                  <c:v>5586.7999999999984</c:v>
                </c:pt>
                <c:pt idx="9">
                  <c:v>513.63999999999987</c:v>
                </c:pt>
                <c:pt idx="10">
                  <c:v>1588.7499999999993</c:v>
                </c:pt>
                <c:pt idx="11">
                  <c:v>2159.5100000000007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EF-4DBD-9C72-AF4515E2B1D4}"/>
            </c:ext>
            <c:ext xmlns:c15="http://schemas.microsoft.com/office/drawing/2012/chart" uri="{02D57815-91ED-43cb-92C2-25804820EDAC}">
              <c15:datalabelsRange>
                <c15:f>'PC-VAR'!$E$5:$E$16</c15:f>
                <c15:dlblRangeCache>
                  <c:ptCount val="12"/>
                  <c:pt idx="0">
                    <c:v>0,01%</c:v>
                  </c:pt>
                  <c:pt idx="1">
                    <c:v>4%</c:v>
                  </c:pt>
                  <c:pt idx="2">
                    <c:v>12%</c:v>
                  </c:pt>
                  <c:pt idx="3">
                    <c:v>35%</c:v>
                  </c:pt>
                  <c:pt idx="4">
                    <c:v>3%</c:v>
                  </c:pt>
                  <c:pt idx="5">
                    <c:v>6%</c:v>
                  </c:pt>
                  <c:pt idx="6">
                    <c:v>0,06%</c:v>
                  </c:pt>
                  <c:pt idx="7">
                    <c:v>17%</c:v>
                  </c:pt>
                  <c:pt idx="8">
                    <c:v>7%</c:v>
                  </c:pt>
                  <c:pt idx="9">
                    <c:v>1%</c:v>
                  </c:pt>
                  <c:pt idx="10">
                    <c:v>2%</c:v>
                  </c:pt>
                  <c:pt idx="11">
                    <c:v>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6011664"/>
        <c:axId val="-2055992624"/>
      </c:barChart>
      <c:catAx>
        <c:axId val="-20560116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2624"/>
        <c:crosses val="autoZero"/>
        <c:auto val="1"/>
        <c:lblAlgn val="ctr"/>
        <c:lblOffset val="100"/>
        <c:noMultiLvlLbl val="0"/>
      </c:catAx>
      <c:valAx>
        <c:axId val="-2055992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11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Grupos varietales en pequeños cítricos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D0-4A12-8E86-A446142713E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D0-4A12-8E86-A446142713E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D0-4A12-8E86-A446142713E6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D0-4A12-8E86-A44614271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'PC-VAR'!$B$21:$B$24</c:f>
              <c:strCache>
                <c:ptCount val="4"/>
                <c:pt idx="0">
                  <c:v>Clementinas</c:v>
                </c:pt>
                <c:pt idx="1">
                  <c:v>Mandarino</c:v>
                </c:pt>
                <c:pt idx="2">
                  <c:v>Mandarinos híbridos</c:v>
                </c:pt>
                <c:pt idx="3">
                  <c:v>Satsumas</c:v>
                </c:pt>
              </c:strCache>
            </c:strRef>
          </c:cat>
          <c:val>
            <c:numRef>
              <c:f>'PC-VAR'!$C$21:$C$24</c:f>
              <c:numCache>
                <c:formatCode>#,##0</c:formatCode>
                <c:ptCount val="4"/>
                <c:pt idx="0">
                  <c:v>42508.829999999994</c:v>
                </c:pt>
                <c:pt idx="1">
                  <c:v>4942.8300000000072</c:v>
                </c:pt>
                <c:pt idx="2">
                  <c:v>19386.310000000001</c:v>
                </c:pt>
                <c:pt idx="3">
                  <c:v>4261.8999999999996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F3-4025-9A24-77C1B7B472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Cítricos:</a:t>
            </a:r>
            <a:r>
              <a:rPr lang="es-ES" baseline="0"/>
              <a:t> Superficies anuales 2020 vs RSU REGEPA 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Superficies anuales 2020 (ha)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'NAR-REPR'!$A$53:$A$56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'NAR-REPR'!$B$53:$B$56</c:f>
              <c:numCache>
                <c:formatCode>#,##0</c:formatCode>
                <c:ptCount val="4"/>
                <c:pt idx="0">
                  <c:v>141127</c:v>
                </c:pt>
                <c:pt idx="1">
                  <c:v>106018</c:v>
                </c:pt>
                <c:pt idx="2">
                  <c:v>48196</c:v>
                </c:pt>
                <c:pt idx="3">
                  <c:v>2628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3F-4392-8C72-47A192916F85}"/>
            </c:ext>
          </c:extLst>
        </c:ser>
        <c:ser>
          <c:idx val="1"/>
          <c:order val="1"/>
          <c:tx>
            <c:v>RSU REGEPA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0.14701375890579577"/>
                </c:manualLayout>
              </c:layout>
              <c:tx>
                <c:rich>
                  <a:bodyPr/>
                  <a:lstStyle/>
                  <a:p>
                    <a:fld id="{C002708D-65A5-4BEC-82C8-13A2315A953D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13F-4392-8C72-47A192916F8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0"/>
                  <c:y val="-0.13476261233031281"/>
                </c:manualLayout>
              </c:layout>
              <c:tx>
                <c:rich>
                  <a:bodyPr/>
                  <a:lstStyle/>
                  <a:p>
                    <a:fld id="{49616E2F-0CF2-4BEE-B51D-E78B0F54CB3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13F-4392-8C72-47A192916F8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"/>
                  <c:y val="-9.392545707870284E-2"/>
                </c:manualLayout>
              </c:layout>
              <c:tx>
                <c:rich>
                  <a:bodyPr/>
                  <a:lstStyle/>
                  <a:p>
                    <a:fld id="{DBCFA103-6BC4-48BC-94A7-7CE30E92886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13F-4392-8C72-47A192916F8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-9.6793708408955195E-3"/>
                  <c:y val="-2.450229315096596E-2"/>
                </c:manualLayout>
              </c:layout>
              <c:tx>
                <c:rich>
                  <a:bodyPr/>
                  <a:lstStyle/>
                  <a:p>
                    <a:fld id="{5419FF8C-7548-46CE-B406-A111AE2FE7A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13F-4392-8C72-47A192916F85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'NAR-REPR'!$A$53:$A$56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'NAR-REPR'!$D$53:$D$56</c:f>
              <c:numCache>
                <c:formatCode>#,##0</c:formatCode>
                <c:ptCount val="4"/>
                <c:pt idx="0">
                  <c:v>107183.61000000013</c:v>
                </c:pt>
                <c:pt idx="1">
                  <c:v>78989.869999999981</c:v>
                </c:pt>
                <c:pt idx="2">
                  <c:v>27152.959999999999</c:v>
                </c:pt>
                <c:pt idx="3">
                  <c:v>2073.42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13F-4392-8C72-47A192916F85}"/>
            </c:ext>
            <c:ext xmlns:c15="http://schemas.microsoft.com/office/drawing/2012/chart" uri="{02D57815-91ED-43cb-92C2-25804820EDAC}">
              <c15:datalabelsRange>
                <c15:f>'NAR-REPR'!$F$53:$F$56</c15:f>
                <c15:dlblRangeCache>
                  <c:ptCount val="4"/>
                  <c:pt idx="0">
                    <c:v>75,9%</c:v>
                  </c:pt>
                  <c:pt idx="1">
                    <c:v>74,5%</c:v>
                  </c:pt>
                  <c:pt idx="2">
                    <c:v>56,3%</c:v>
                  </c:pt>
                  <c:pt idx="3">
                    <c:v>78,9%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78800"/>
        <c:axId val="-34397840"/>
        <c:axId val="0"/>
      </c:bar3DChart>
      <c:catAx>
        <c:axId val="-3437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7840"/>
        <c:crosses val="autoZero"/>
        <c:auto val="1"/>
        <c:lblAlgn val="ctr"/>
        <c:lblOffset val="100"/>
        <c:noMultiLvlLbl val="0"/>
      </c:catAx>
      <c:valAx>
        <c:axId val="-3439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LIMONERO: Superficie plantada según tipo de variedades (ha) RSU REGEPA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55341B1-365B-4304-B235-6A3904E977B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3CE-4EB2-8C74-CCBF56A72FE0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336B113-9698-4F42-8722-E81A4D257B3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'LIM-VAR'!$B$5:$B$6</c:f>
              <c:strCache>
                <c:ptCount val="2"/>
                <c:pt idx="0">
                  <c:v>Invierno</c:v>
                </c:pt>
                <c:pt idx="1">
                  <c:v>Verano</c:v>
                </c:pt>
              </c:strCache>
            </c:strRef>
          </c:cat>
          <c:val>
            <c:numRef>
              <c:f>'LIM-VAR'!$C$5:$C$6</c:f>
              <c:numCache>
                <c:formatCode>#,##0</c:formatCode>
                <c:ptCount val="2"/>
                <c:pt idx="0">
                  <c:v>15696.440000000006</c:v>
                </c:pt>
                <c:pt idx="1">
                  <c:v>9903.130000000021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11-4628-BDC8-31393A6CBDF4}"/>
            </c:ext>
            <c:ext xmlns:c15="http://schemas.microsoft.com/office/drawing/2012/chart" uri="{02D57815-91ED-43cb-92C2-25804820EDAC}">
              <c15:datalabelsRange>
                <c15:f>'LIM-VAR'!$D$5:$D$6</c15:f>
                <c15:dlblRangeCache>
                  <c:ptCount val="2"/>
                  <c:pt idx="0">
                    <c:v>57,8%</c:v>
                  </c:pt>
                  <c:pt idx="1">
                    <c:v>36,5%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5980112"/>
        <c:axId val="-2055989360"/>
      </c:barChart>
      <c:catAx>
        <c:axId val="-2055980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9360"/>
        <c:crosses val="autoZero"/>
        <c:auto val="1"/>
        <c:lblAlgn val="ctr"/>
        <c:lblOffset val="100"/>
        <c:noMultiLvlLbl val="0"/>
      </c:catAx>
      <c:valAx>
        <c:axId val="-205598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RSU REGEPA 2019</a:t>
            </a:r>
            <a:r>
              <a:rPr lang="en-US" baseline="0"/>
              <a:t> vs </a:t>
            </a:r>
            <a:r>
              <a:rPr lang="en-US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333333333333333E-2"/>
                  <c:y val="-5.114464858559346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126-4BB9-9794-02B4CDAC98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3333333333333333E-2"/>
                  <c:y val="-3.32203266258384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126-4BB9-9794-02B4CDAC98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999999999999897E-2"/>
                  <c:y val="-4.62962962962971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126-4BB9-9794-02B4CDAC98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333333333333333E-2"/>
                  <c:y val="-1.00761883931175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126-4BB9-9794-02B4CDAC982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('PC-REPR'!$A$8,'PC-REPR'!$A$16,'PC-REPR'!$A$20,'PC-REPR'!$A$22,'PC-REPR'!$A$24,'PC-REPR'!$A$27,'PC-REPR'!$A$30,'PC-REPR'!$A$32,'PC-REPR'!$A$35)</c15:sqref>
                  </c15:fullRef>
                </c:ext>
              </c:extLst>
              <c:f>('PC-REPR'!$A$8,'PC-REPR'!$A$16,'PC-REPR'!$A$24,'PC-REPR'!$A$35)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('PC-REPR'!$B$8,'PC-REPR'!$B$16,'PC-REPR'!$B$20,'PC-REPR'!$B$22,'PC-REPR'!$B$24,'PC-REPR'!$B$27,'PC-REPR'!$B$30,'PC-REPR'!$B$32,'PC-REPR'!$B$35)</c15:sqref>
                  </c15:fullRef>
                </c:ext>
              </c:extLst>
              <c:f>('PC-REPR'!$B$8,'PC-REPR'!$B$16,'PC-REPR'!$B$24,'PC-REPR'!$B$35)</c:f>
              <c:numCache>
                <c:formatCode>#,##0</c:formatCode>
                <c:ptCount val="4"/>
                <c:pt idx="0">
                  <c:v>13556.719999999996</c:v>
                </c:pt>
                <c:pt idx="1">
                  <c:v>53773.520000000106</c:v>
                </c:pt>
                <c:pt idx="2">
                  <c:v>6084.3099999999986</c:v>
                </c:pt>
                <c:pt idx="3">
                  <c:v>6106.2000000000089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A1-4065-A635-33E0759AFF53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('PC-REPR'!$A$8,'PC-REPR'!$A$16,'PC-REPR'!$A$20,'PC-REPR'!$A$22,'PC-REPR'!$A$24,'PC-REPR'!$A$27,'PC-REPR'!$A$30,'PC-REPR'!$A$32,'PC-REPR'!$A$35)</c15:sqref>
                  </c15:fullRef>
                </c:ext>
              </c:extLst>
              <c:f>('PC-REPR'!$A$8,'PC-REPR'!$A$16,'PC-REPR'!$A$24,'PC-REPR'!$A$35)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('PC-REPR'!$C$8,'PC-REPR'!$C$16,'PC-REPR'!$C$20,'PC-REPR'!$C$22,'PC-REPR'!$C$24,'PC-REPR'!$C$27,'PC-REPR'!$C$30,'PC-REPR'!$C$32,'PC-REPR'!$C$35)</c15:sqref>
                  </c15:fullRef>
                </c:ext>
              </c:extLst>
              <c:f>('PC-REPR'!$C$8,'PC-REPR'!$C$16,'PC-REPR'!$C$24,'PC-REPR'!$C$35)</c:f>
              <c:numCache>
                <c:formatCode>#,##0</c:formatCode>
                <c:ptCount val="4"/>
                <c:pt idx="0">
                  <c:v>14076.369999999999</c:v>
                </c:pt>
                <c:pt idx="1">
                  <c:v>52903.539999999964</c:v>
                </c:pt>
                <c:pt idx="2">
                  <c:v>5981.9499999999989</c:v>
                </c:pt>
                <c:pt idx="3">
                  <c:v>5976.5000000000009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3A1-4065-A635-33E0759AF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76080"/>
        <c:axId val="-34398384"/>
        <c:axId val="0"/>
      </c:bar3DChart>
      <c:catAx>
        <c:axId val="-343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8384"/>
        <c:crosses val="autoZero"/>
        <c:auto val="1"/>
        <c:lblAlgn val="ctr"/>
        <c:lblOffset val="100"/>
        <c:noMultiLvlLbl val="0"/>
      </c:catAx>
      <c:valAx>
        <c:axId val="-3439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Superficies anuales 2020 vs </a:t>
            </a:r>
          </a:p>
          <a:p>
            <a:pPr>
              <a:defRPr/>
            </a:pPr>
            <a:r>
              <a:rPr lang="en-US"/>
              <a:t>RSU REGEPA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68,7%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F82-49CA-89E6-53890CBF1E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9999999994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72,7%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F82-49CA-89E6-53890CBF1E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333333333333229E-2"/>
                  <c:y val="-4.62962962962971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90,8%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F82-49CA-89E6-53890CBF1E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777777777777776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F82-49CA-89E6-53890CBF1E7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('PC-REPR'!$A$8,'PC-REPR'!$A$16,'PC-REPR'!$A$20,'PC-REPR'!$A$22,'PC-REPR'!$A$24,'PC-REPR'!$A$27,'PC-REPR'!$A$30,'PC-REPR'!$A$32,'PC-REPR'!$A$35)</c15:sqref>
                  </c15:fullRef>
                </c:ext>
              </c:extLst>
              <c:f>('PC-REPR'!$A$8,'PC-REPR'!$A$16,'PC-REPR'!$A$24,'PC-REPR'!$A$35)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('PC-REPR'!$E$8,'PC-REPR'!$E$16,'PC-REPR'!$E$20,'PC-REPR'!$E$22,'PC-REPR'!$E$24,'PC-REPR'!$E$27,'PC-REPR'!$E$30,'PC-REPR'!$E$32,'PC-REPR'!$E$35,'PC-REPR'!$E$37)</c15:sqref>
                  </c15:fullRef>
                </c:ext>
              </c:extLst>
              <c:f>('PC-REPR'!$E$8,'PC-REPR'!$E$16,'PC-REPR'!$E$24,'PC-REPR'!$E$35,'PC-REPR'!$E$37)</c:f>
              <c:numCache>
                <c:formatCode>#,##0</c:formatCode>
                <c:ptCount val="5"/>
                <c:pt idx="0">
                  <c:v>20502</c:v>
                </c:pt>
                <c:pt idx="1">
                  <c:v>72759</c:v>
                </c:pt>
                <c:pt idx="2">
                  <c:v>6585</c:v>
                </c:pt>
                <c:pt idx="3">
                  <c:v>5799</c:v>
                </c:pt>
                <c:pt idx="4">
                  <c:v>106018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98-4C4D-A138-FBBC17B9B658}"/>
            </c:ext>
          </c:extLst>
        </c:ser>
        <c:ser>
          <c:idx val="0"/>
          <c:order val="1"/>
          <c:tx>
            <c:v>RSU REGEPA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('PC-REPR'!$A$8,'PC-REPR'!$A$16,'PC-REPR'!$A$20,'PC-REPR'!$A$22,'PC-REPR'!$A$24,'PC-REPR'!$A$27,'PC-REPR'!$A$30,'PC-REPR'!$A$32,'PC-REPR'!$A$35)</c15:sqref>
                  </c15:fullRef>
                </c:ext>
              </c:extLst>
              <c:f>('PC-REPR'!$A$8,'PC-REPR'!$A$16,'PC-REPR'!$A$24,'PC-REPR'!$A$35)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('PC-REPR'!$C$8,'PC-REPR'!$C$16,'PC-REPR'!$C$20,'PC-REPR'!$C$22,'PC-REPR'!$C$24,'PC-REPR'!$C$27,'PC-REPR'!$C$30,'PC-REPR'!$C$32,'PC-REPR'!$C$35)</c15:sqref>
                  </c15:fullRef>
                </c:ext>
              </c:extLst>
              <c:f>('PC-REPR'!$C$8,'PC-REPR'!$C$16,'PC-REPR'!$C$24,'PC-REPR'!$C$35)</c:f>
              <c:numCache>
                <c:formatCode>#,##0</c:formatCode>
                <c:ptCount val="4"/>
                <c:pt idx="0">
                  <c:v>14076.369999999999</c:v>
                </c:pt>
                <c:pt idx="1">
                  <c:v>52903.539999999964</c:v>
                </c:pt>
                <c:pt idx="2">
                  <c:v>5981.9499999999989</c:v>
                </c:pt>
                <c:pt idx="3">
                  <c:v>5976.5000000000009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98-4C4D-A138-FBBC17B9B6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99472"/>
        <c:axId val="-34379888"/>
        <c:axId val="0"/>
      </c:bar3DChart>
      <c:catAx>
        <c:axId val="-3439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9888"/>
        <c:crosses val="autoZero"/>
        <c:auto val="1"/>
        <c:lblAlgn val="ctr"/>
        <c:lblOffset val="100"/>
        <c:noMultiLvlLbl val="0"/>
      </c:catAx>
      <c:valAx>
        <c:axId val="-34379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cítrico: Representatividad de la</a:t>
            </a:r>
            <a:r>
              <a:rPr lang="en-US" baseline="0"/>
              <a:t> </a:t>
            </a:r>
            <a:r>
              <a:rPr lang="en-US"/>
              <a:t>información RSU REGEPA vs Superficies anuales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('PC-REPR'!$A$8,'PC-REPR'!$A$16,'PC-REPR'!$A$18,'PC-REPR'!$A$20,'PC-REPR'!$A$24,'PC-REPR'!$A$27,'PC-REPR'!$A$30,'PC-REPR'!$A$32,'PC-REPR'!$A$35,'PC-REPR'!$A$37)</c15:sqref>
                  </c15:fullRef>
                </c:ext>
              </c:extLst>
              <c:f>('PC-REPR'!$A$8,'PC-REPR'!$A$16,'PC-REPR'!$A$24,'PC-REPR'!$A$35,'PC-REPR'!$A$37)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('PC-REPR'!$F$8,'PC-REPR'!$F$16,'PC-REPR'!$F$20,'PC-REPR'!$F$22,'PC-REPR'!$F$24,'PC-REPR'!$F$27,'PC-REPR'!$F$30,'PC-REPR'!$F$32,'PC-REPR'!$F$35,'PC-REPR'!$F$37)</c15:sqref>
                  </c15:fullRef>
                </c:ext>
              </c:extLst>
              <c:f>('PC-REPR'!$F$8,'PC-REPR'!$F$16,'PC-REPR'!$F$24,'PC-REPR'!$F$35,'PC-REPR'!$F$37)</c:f>
              <c:numCache>
                <c:formatCode>0.0%</c:formatCode>
                <c:ptCount val="5"/>
                <c:pt idx="0">
                  <c:v>0.67443012785433543</c:v>
                </c:pt>
                <c:pt idx="1">
                  <c:v>0.72326787539678417</c:v>
                </c:pt>
                <c:pt idx="2">
                  <c:v>0.93089198286413688</c:v>
                </c:pt>
                <c:pt idx="3">
                  <c:v>1.072768798313424</c:v>
                </c:pt>
                <c:pt idx="4">
                  <c:v>0.74320603484515946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31-45EB-862E-E1A2FF407F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95664"/>
        <c:axId val="-34387504"/>
      </c:barChart>
      <c:catAx>
        <c:axId val="-3439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7504"/>
        <c:crosses val="autoZero"/>
        <c:auto val="1"/>
        <c:lblAlgn val="ctr"/>
        <c:lblOffset val="100"/>
        <c:noMultiLvlLbl val="0"/>
      </c:catAx>
      <c:valAx>
        <c:axId val="-3438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164-43DA-A887-A5194CEE4FA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164-43DA-A887-A5194CEE4FAA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164-43DA-A887-A5194CEE4FAA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164-43DA-A887-A5194CEE4FAA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164-43DA-A887-A5194CEE4FAA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164-43DA-A887-A5194CEE4FAA}"/>
              </c:ext>
            </c:extLst>
          </c:dPt>
          <c:dPt>
            <c:idx val="6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164-43DA-A887-A5194CEE4FAA}"/>
              </c:ext>
            </c:extLst>
          </c:dPt>
          <c:dPt>
            <c:idx val="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164-43DA-A887-A5194CEE4FAA}"/>
              </c:ext>
            </c:extLst>
          </c:dPt>
          <c:dPt>
            <c:idx val="8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164-43DA-A887-A5194CEE4FAA}"/>
              </c:ext>
            </c:extLst>
          </c:dPt>
          <c:dLbls>
            <c:dLbl>
              <c:idx val="1"/>
              <c:layout>
                <c:manualLayout>
                  <c:x val="5.2777777777777729E-2"/>
                  <c:y val="-0.2060185185185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164-43DA-A887-A5194CEE4FAA}"/>
                </c:ext>
                <c:ext xmlns:c15="http://schemas.microsoft.com/office/drawing/2012/chart" uri="{CE6537A1-D6FC-4f65-9D91-7224C49458BB}">
                  <c15:layout>
                    <c:manualLayout>
                      <c:w val="0.23680555555555555"/>
                      <c:h val="0.21527777777777779"/>
                    </c:manualLayout>
                  </c15:layout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164-43DA-A887-A5194CEE4FA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164-43DA-A887-A5194CEE4FA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164-43DA-A887-A5194CEE4FA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164-43DA-A887-A5194CEE4FAA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1164-43DA-A887-A5194CEE4FAA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('PC-EDAD'!$A$4,'PC-EDAD'!$A$12,'PC-EDAD'!$A$16,'PC-EDAD'!$A$18,'PC-EDAD'!$A$20,'PC-EDAD'!$A$23,'PC-EDAD'!$A$26,'PC-EDAD'!$A$28,'PC-EDAD'!$A$31)</c:f>
              <c:strCache>
                <c:ptCount val="9"/>
                <c:pt idx="0">
                  <c:v>ANDALUCÍA</c:v>
                </c:pt>
                <c:pt idx="1">
                  <c:v>C. VALENCIANA</c:v>
                </c:pt>
                <c:pt idx="2">
                  <c:v>C.-LA MANCHA</c:v>
                </c:pt>
                <c:pt idx="3">
                  <c:v>CANTABRIA</c:v>
                </c:pt>
                <c:pt idx="4">
                  <c:v>CATALUÑA</c:v>
                </c:pt>
                <c:pt idx="5">
                  <c:v>EXTREMADURA</c:v>
                </c:pt>
                <c:pt idx="6">
                  <c:v>I. BALEARES</c:v>
                </c:pt>
                <c:pt idx="7">
                  <c:v>I. CANARIAS</c:v>
                </c:pt>
                <c:pt idx="8">
                  <c:v>MURCIA</c:v>
                </c:pt>
              </c:strCache>
            </c:strRef>
          </c:cat>
          <c:val>
            <c:numRef>
              <c:f>('PC-EDAD'!$Z$4,'PC-EDAD'!$Z$12,'PC-EDAD'!$Z$16,'PC-EDAD'!$Z$18,'PC-EDAD'!$Z$20,'PC-EDAD'!$Z$23,'PC-EDAD'!$Z$26,'PC-EDAD'!$Z$28,'PC-EDAD'!$Z$31)</c:f>
              <c:numCache>
                <c:formatCode>0%</c:formatCode>
                <c:ptCount val="9"/>
                <c:pt idx="0">
                  <c:v>0.17820474954573293</c:v>
                </c:pt>
                <c:pt idx="1">
                  <c:v>0.66975094401345414</c:v>
                </c:pt>
                <c:pt idx="2">
                  <c:v>2.0255761909723366E-6</c:v>
                </c:pt>
                <c:pt idx="3">
                  <c:v>1.0127880954861683E-6</c:v>
                </c:pt>
                <c:pt idx="4">
                  <c:v>7.5730596847418521E-2</c:v>
                </c:pt>
                <c:pt idx="5">
                  <c:v>9.6341467583121762E-5</c:v>
                </c:pt>
                <c:pt idx="6">
                  <c:v>3.4054999710722409E-4</c:v>
                </c:pt>
                <c:pt idx="7">
                  <c:v>2.1217910600435222E-4</c:v>
                </c:pt>
                <c:pt idx="8">
                  <c:v>7.5661600658413569E-2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64-43DA-A887-A5194CEE4F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Representatividad </a:t>
            </a:r>
          </a:p>
          <a:p>
            <a:pPr>
              <a:defRPr/>
            </a:pPr>
            <a:r>
              <a:rPr lang="en-US"/>
              <a:t>de la información del Superficies anuales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B5-4A74-9EC5-1278A29A87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7B5-4A74-9EC5-1278A29A87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483714634095935E-2"/>
                  <c:y val="7.5646169228846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B5-4A74-9EC5-1278A29A874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3333344269466316"/>
                  <c:y val="-0.168373151308304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B5-4A74-9EC5-1278A29A8746}"/>
                </c:ext>
                <c:ext xmlns:c15="http://schemas.microsoft.com/office/drawing/2012/chart" uri="{CE6537A1-D6FC-4f65-9D91-7224C49458BB}">
                  <c15:layout>
                    <c:manualLayout>
                      <c:w val="0.27291666666666664"/>
                      <c:h val="0.21501706484641639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2561328455990248E-2"/>
                  <c:y val="1.2348456442944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E9B-49D2-9E1F-2DC2C877ACE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('PC-REPR'!$A$8,'PC-REPR'!$A$16,'PC-REPR'!$A$20,'PC-REPR'!$A$22,'PC-REPR'!$A$24,'PC-REPR'!$A$27,'PC-REPR'!$A$30,'PC-REPR'!$A$32,'PC-REPR'!$A$35)</c15:sqref>
                  </c15:fullRef>
                </c:ext>
              </c:extLst>
              <c:f>('PC-REPR'!$A$8,'PC-REPR'!$A$16,'PC-REPR'!$A$24,'PC-REPR'!$A$35)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('PC-REPR'!$D$8,'PC-REPR'!$D$16,'PC-REPR'!$D$20,'PC-REPR'!$D$22,'PC-REPR'!$D$24,'PC-REPR'!$D$27,'PC-REPR'!$D$30,'PC-REPR'!$D$32,'PC-REPR'!$D$35)</c15:sqref>
                  </c15:fullRef>
                </c:ext>
              </c:extLst>
              <c:f>('PC-REPR'!$D$8,'PC-REPR'!$D$16,'PC-REPR'!$D$24,'PC-REPR'!$D$35)</c:f>
              <c:numCache>
                <c:formatCode>#,##0</c:formatCode>
                <c:ptCount val="4"/>
                <c:pt idx="0">
                  <c:v>20101</c:v>
                </c:pt>
                <c:pt idx="1">
                  <c:v>74348</c:v>
                </c:pt>
                <c:pt idx="2">
                  <c:v>6536</c:v>
                </c:pt>
                <c:pt idx="3">
                  <c:v>5692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F6-436E-BFC1-29C840CA9EBA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'PC-REPR'!$D$20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'PC-REPR'!$D$27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F5ED-409E-8F77-3C2FC7DB77D2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'PC-REPR'!$D$30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F5ED-409E-8F77-3C2FC7DB77D2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'PC-REPR'!$D$32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F5ED-409E-8F77-3C2FC7DB77D2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Clementinas: RSU REGEPA</a:t>
            </a:r>
            <a:r>
              <a:rPr lang="es-ES" baseline="0"/>
              <a:t> 2019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('PC-REPR'!$A$42,'PC-REPR'!$A$50,'PC-REPR'!$A$54,'PC-REPR'!$A$57,'PC-REPR'!$A$59,'PC-REPR'!$A$61,'PC-REPR'!$A$63)</c15:sqref>
                  </c15:fullRef>
                </c:ext>
              </c:extLst>
              <c:f>('PC-REPR'!$A$42,'PC-REPR'!$A$50,'PC-REPR'!$A$54,'PC-REPR'!$A$61)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('PC-REPR'!$B$42,'PC-REPR'!$B$50,'PC-REPR'!$B$54,'PC-REPR'!$B$57,'PC-REPR'!$B$59,'PC-REPR'!$B$61,'PC-REPR'!$B$63)</c15:sqref>
                  </c15:fullRef>
                </c:ext>
              </c:extLst>
              <c:f>('PC-REPR'!$B$42,'PC-REPR'!$B$50,'PC-REPR'!$B$54,'PC-REPR'!$B$61)</c:f>
              <c:numCache>
                <c:formatCode>#,##0</c:formatCode>
                <c:ptCount val="4"/>
                <c:pt idx="0">
                  <c:v>2528.3599999999997</c:v>
                </c:pt>
                <c:pt idx="1">
                  <c:v>34668.690000000024</c:v>
                </c:pt>
                <c:pt idx="2">
                  <c:v>5358.45</c:v>
                </c:pt>
                <c:pt idx="3">
                  <c:v>1709.26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98-4105-8789-34D07C10B243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1DE8D21-4910-4FA4-B5FA-CF857979D4D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598-4105-8789-34D07C10B24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5.5555555555556061E-3"/>
                  <c:y val="-2.7777777777777776E-2"/>
                </c:manualLayout>
              </c:layout>
              <c:tx>
                <c:rich>
                  <a:bodyPr/>
                  <a:lstStyle/>
                  <a:p>
                    <a:fld id="{E2109B33-0077-4817-BD25-D54C205AC38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598-4105-8789-34D07C10B243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B9DFA1F-8BA9-4743-8EE6-B5CF8CD7A37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EC854A-D9D6-4588-8B73-3B56E5F2641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('PC-REPR'!$A$42,'PC-REPR'!$A$50,'PC-REPR'!$A$54,'PC-REPR'!$A$57,'PC-REPR'!$A$59,'PC-REPR'!$A$61,'PC-REPR'!$A$63)</c15:sqref>
                  </c15:fullRef>
                </c:ext>
              </c:extLst>
              <c:f>('PC-REPR'!$A$42,'PC-REPR'!$A$50,'PC-REPR'!$A$54,'PC-REPR'!$A$61)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('PC-REPR'!$C$42,'PC-REPR'!$C$50,'PC-REPR'!$C$54,'PC-REPR'!$C$57,'PC-REPR'!$C$59,'PC-REPR'!$C$61,'PC-REPR'!$C$63)</c15:sqref>
                  </c15:fullRef>
                </c:ext>
              </c:extLst>
              <c:f>('PC-REPR'!$C$42,'PC-REPR'!$C$50,'PC-REPR'!$C$54,'PC-REPR'!$C$61)</c:f>
              <c:numCache>
                <c:formatCode>#,##0</c:formatCode>
                <c:ptCount val="4"/>
                <c:pt idx="0">
                  <c:v>2491.0700000000002</c:v>
                </c:pt>
                <c:pt idx="1">
                  <c:v>33532.170000000006</c:v>
                </c:pt>
                <c:pt idx="2">
                  <c:v>5577.0699999999979</c:v>
                </c:pt>
                <c:pt idx="3">
                  <c:v>1572.6799999999998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598-4105-8789-34D07C10B243}"/>
            </c:ext>
            <c:ext xmlns:c15="http://schemas.microsoft.com/office/drawing/2012/chart" uri="{02D57815-91ED-43cb-92C2-25804820EDAC}">
              <c15:datalabelsRange>
                <c15:f>('PC-REPR'!$E$42,'PC-REPR'!$E$50,'PC-REPR'!$E$54,'PC-REPR'!$E$57,'PC-REPR'!$E$59,'PC-REPR'!$E$61,'PC-REPR'!$E$63)</c15:f>
                <c15:dlblRangeCache>
                  <c:ptCount val="7"/>
                  <c:pt idx="0">
                    <c:v>-1%</c:v>
                  </c:pt>
                  <c:pt idx="1">
                    <c:v>-3%</c:v>
                  </c:pt>
                  <c:pt idx="2">
                    <c:v>4%</c:v>
                  </c:pt>
                  <c:pt idx="4">
                    <c:v>0%</c:v>
                  </c:pt>
                  <c:pt idx="5">
                    <c:v>-8%</c:v>
                  </c:pt>
                  <c:pt idx="6">
                    <c:v>-2%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78256"/>
        <c:axId val="-34385872"/>
        <c:axId val="0"/>
      </c:bar3DChart>
      <c:catAx>
        <c:axId val="-3437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5872"/>
        <c:crosses val="autoZero"/>
        <c:auto val="1"/>
        <c:lblAlgn val="ctr"/>
        <c:lblOffset val="100"/>
        <c:noMultiLvlLbl val="0"/>
      </c:catAx>
      <c:valAx>
        <c:axId val="-3438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Mandarinos: RSU REGEPA 2019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('PC-REPR'!$A$68,'PC-REPR'!$A$76,'PC-REPR'!$A$80,'PC-REPR'!$A$82,'PC-REPR'!$A$84,'PC-REPR'!$A$87,'PC-REPR'!$A$90,'PC-REPR'!$A$92,'PC-REPR'!$A$95,'PC-REPR'!$A$97)</c15:sqref>
                  </c15:fullRef>
                </c:ext>
              </c:extLst>
              <c:f>('PC-REPR'!$A$68,'PC-REPR'!$A$76,'PC-REPR'!$A$84,'PC-REPR'!$A$95)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('PC-REPR'!$B$68,'PC-REPR'!$B$76,'PC-REPR'!$B$80,'PC-REPR'!$B$82,'PC-REPR'!$B$84,'PC-REPR'!$B$87,'PC-REPR'!$B$90,'PC-REPR'!$B$92,'PC-REPR'!$B$95,'PC-REPR'!$B$97)</c15:sqref>
                  </c15:fullRef>
                </c:ext>
              </c:extLst>
              <c:f>('PC-REPR'!$B$68,'PC-REPR'!$B$76,'PC-REPR'!$B$84,'PC-REPR'!$B$95)</c:f>
              <c:numCache>
                <c:formatCode>#,##0</c:formatCode>
                <c:ptCount val="4"/>
                <c:pt idx="0">
                  <c:v>6406.7499999999991</c:v>
                </c:pt>
                <c:pt idx="1">
                  <c:v>721.7299999999999</c:v>
                </c:pt>
                <c:pt idx="2">
                  <c:v>500.46000000000004</c:v>
                </c:pt>
                <c:pt idx="3">
                  <c:v>3134.72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FE-4B94-9BE9-B1034AD8E275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A6BF28D-2F5F-4753-8798-23063E6E6D8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7FE-4B94-9BE9-B1034AD8E27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3A64482-C861-4F2F-BBFA-CD216753C9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layout>
                <c:manualLayout>
                  <c:x val="-2.7777777777777779E-3"/>
                  <c:y val="-3.7037037037037035E-2"/>
                </c:manualLayout>
              </c:layout>
              <c:tx>
                <c:rich>
                  <a:bodyPr/>
                  <a:lstStyle/>
                  <a:p>
                    <a:fld id="{1217FA48-5C35-41CA-ABA9-B186E917968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7FE-4B94-9BE9-B1034AD8E27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5AAA47-8CA1-45DF-8881-86966C39F871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('PC-REPR'!$A$68,'PC-REPR'!$A$76,'PC-REPR'!$A$80,'PC-REPR'!$A$82,'PC-REPR'!$A$84,'PC-REPR'!$A$87,'PC-REPR'!$A$90,'PC-REPR'!$A$92,'PC-REPR'!$A$95,'PC-REPR'!$A$97)</c15:sqref>
                  </c15:fullRef>
                </c:ext>
              </c:extLst>
              <c:f>('PC-REPR'!$A$68,'PC-REPR'!$A$76,'PC-REPR'!$A$84,'PC-REPR'!$A$95)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('PC-REPR'!$C$68,'PC-REPR'!$C$76,'PC-REPR'!$C$80,'PC-REPR'!$C$82,'PC-REPR'!$C$84,'PC-REPR'!$C$87,'PC-REPR'!$C$90,'PC-REPR'!$C$92,'PC-REPR'!$C$95,'PC-REPR'!$C$97)</c15:sqref>
                  </c15:fullRef>
                </c:ext>
              </c:extLst>
              <c:f>('PC-REPR'!$C$68,'PC-REPR'!$C$76,'PC-REPR'!$C$84,'PC-REPR'!$C$95)</c:f>
              <c:numCache>
                <c:formatCode>#,##0</c:formatCode>
                <c:ptCount val="4"/>
                <c:pt idx="0">
                  <c:v>6525.61</c:v>
                </c:pt>
                <c:pt idx="1">
                  <c:v>660.13</c:v>
                </c:pt>
                <c:pt idx="2">
                  <c:v>2.86</c:v>
                </c:pt>
                <c:pt idx="3">
                  <c:v>3150.3200000000006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7FE-4B94-9BE9-B1034AD8E275}"/>
            </c:ext>
            <c:ext xmlns:c15="http://schemas.microsoft.com/office/drawing/2012/chart" uri="{02D57815-91ED-43cb-92C2-25804820EDAC}">
              <c15:datalabelsRange>
                <c15:f>('PC-REPR'!$E$68,'PC-REPR'!$E$76,'PC-REPR'!$E$80,'PC-REPR'!$E$82,'PC-REPR'!$E$84,'PC-REPR'!$E$87,'PC-REPR'!$E$90,'PC-REPR'!$E$92,'PC-REPR'!$E$95,'PC-REPR'!$E$97)</c15:f>
                <c15:dlblRangeCache>
                  <c:ptCount val="10"/>
                  <c:pt idx="0">
                    <c:v>2%</c:v>
                  </c:pt>
                  <c:pt idx="1">
                    <c:v>-9%</c:v>
                  </c:pt>
                  <c:pt idx="4">
                    <c:v>-99%</c:v>
                  </c:pt>
                  <c:pt idx="5">
                    <c:v>1%</c:v>
                  </c:pt>
                  <c:pt idx="6">
                    <c:v>-2%</c:v>
                  </c:pt>
                  <c:pt idx="8">
                    <c:v>0,5%</c:v>
                  </c:pt>
                  <c:pt idx="9">
                    <c:v>-4%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95120"/>
        <c:axId val="-34392400"/>
        <c:axId val="0"/>
      </c:bar3DChart>
      <c:catAx>
        <c:axId val="-3439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2400"/>
        <c:crosses val="autoZero"/>
        <c:auto val="1"/>
        <c:lblAlgn val="ctr"/>
        <c:lblOffset val="100"/>
        <c:noMultiLvlLbl val="0"/>
      </c:catAx>
      <c:valAx>
        <c:axId val="-343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Cítricos (CCAA): Representatividad 2019</a:t>
            </a:r>
            <a:r>
              <a:rPr lang="es-ES" baseline="0"/>
              <a:t> vs 2020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Representatividad 2019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6.9324090121317154E-3"/>
                  <c:y val="-3.836929876027889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-0.1%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53477195041115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6216060080877261E-3"/>
                  <c:y val="1.1510789628083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-1,6%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9324090121317154E-3"/>
                  <c:y val="1.53477195041115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3.06954390082231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-0,3%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5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(Cítricos!$G$5,Cítricos!$G$16,Cítricos!$G$24,Cítricos!$G$37,Cítricos!$G$42)</c:f>
              <c:numCache>
                <c:formatCode>0%</c:formatCode>
                <c:ptCount val="5"/>
                <c:pt idx="0">
                  <c:v>0.78958914082406662</c:v>
                </c:pt>
                <c:pt idx="1">
                  <c:v>0.69943591128303084</c:v>
                </c:pt>
                <c:pt idx="2">
                  <c:v>0.9179437971213158</c:v>
                </c:pt>
                <c:pt idx="3">
                  <c:v>0.37707981220657277</c:v>
                </c:pt>
                <c:pt idx="4">
                  <c:v>0.68106227848101264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D9-4298-8622-356926DD5E9B}"/>
            </c:ext>
          </c:extLst>
        </c:ser>
        <c:ser>
          <c:idx val="1"/>
          <c:order val="1"/>
          <c:tx>
            <c:v>Representatividad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(Cítricos!$H$5,Cítricos!$H$16,Cítricos!$H$24,Cítricos!$H$37,Cítricos!$H$42)</c:f>
              <c:numCache>
                <c:formatCode>0%</c:formatCode>
                <c:ptCount val="5"/>
                <c:pt idx="0">
                  <c:v>0.78815701623114998</c:v>
                </c:pt>
                <c:pt idx="1">
                  <c:v>0.69886629624508134</c:v>
                </c:pt>
                <c:pt idx="2">
                  <c:v>0.90214732295100575</c:v>
                </c:pt>
                <c:pt idx="3">
                  <c:v>0.36598591549295767</c:v>
                </c:pt>
                <c:pt idx="4">
                  <c:v>0.6785273876939486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D9-4298-8622-356926DD5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3148448"/>
        <c:axId val="-239429792"/>
        <c:axId val="0"/>
      </c:bar3DChart>
      <c:catAx>
        <c:axId val="-8314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39429792"/>
        <c:crosses val="autoZero"/>
        <c:auto val="1"/>
        <c:lblAlgn val="ctr"/>
        <c:lblOffset val="100"/>
        <c:noMultiLvlLbl val="0"/>
      </c:catAx>
      <c:valAx>
        <c:axId val="-239429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8314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Mandarinos híbridos: RSU REGEPA 2019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('PC-REPR'!$A$102,'PC-REPR'!$A$110,'PC-REPR'!$A$114,'PC-REPR'!$A$116,'PC-REPR'!$A$119,'PC-REPR'!$A$121,'PC-REPR'!$A$123)</c15:sqref>
                  </c15:fullRef>
                </c:ext>
              </c:extLst>
              <c:f>('PC-REPR'!$A$102,'PC-REPR'!$A$110,'PC-REPR'!$A$114,'PC-REPR'!$A$121)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('PC-REPR'!$B$102,'PC-REPR'!$B$110,'PC-REPR'!$B$114,'PC-REPR'!$B$116,'PC-REPR'!$B$119,'PC-REPR'!$B$121,'PC-REPR'!$B$123)</c15:sqref>
                  </c15:fullRef>
                </c:ext>
              </c:extLst>
              <c:f>('PC-REPR'!$B$102,'PC-REPR'!$B$110,'PC-REPR'!$B$114,'PC-REPR'!$B$121)</c:f>
              <c:numCache>
                <c:formatCode>#,##0</c:formatCode>
                <c:ptCount val="4"/>
                <c:pt idx="0">
                  <c:v>4450.3</c:v>
                </c:pt>
                <c:pt idx="1">
                  <c:v>13906.469999999996</c:v>
                </c:pt>
                <c:pt idx="2">
                  <c:v>214.51</c:v>
                </c:pt>
                <c:pt idx="3">
                  <c:v>1177.7200000000003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6-4DBF-9F34-0189997D79C6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A16EA5-D50A-42D6-9188-9B7016987D9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AD6-4DBF-9F34-0189997D79C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EB2771-5604-46B8-BC4C-C2B45255B7F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1E12F7-3A3D-47F0-833E-F88438F66D6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83E815-19F3-4E69-9A43-0E21CC9AE2F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('PC-REPR'!$A$102,'PC-REPR'!$A$110,'PC-REPR'!$A$114,'PC-REPR'!$A$116,'PC-REPR'!$A$119,'PC-REPR'!$A$121,'PC-REPR'!$A$123)</c15:sqref>
                  </c15:fullRef>
                </c:ext>
              </c:extLst>
              <c:f>('PC-REPR'!$A$102,'PC-REPR'!$A$110,'PC-REPR'!$A$114,'PC-REPR'!$A$121)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('PC-REPR'!$C$102,'PC-REPR'!$C$110,'PC-REPR'!$C$114,'PC-REPR'!$C$116,'PC-REPR'!$C$119,'PC-REPR'!$C$121,'PC-REPR'!$C$123)</c15:sqref>
                  </c15:fullRef>
                </c:ext>
              </c:extLst>
              <c:f>('PC-REPR'!$C$102,'PC-REPR'!$C$110,'PC-REPR'!$C$114,'PC-REPR'!$C$121)</c:f>
              <c:numCache>
                <c:formatCode>#,##0</c:formatCode>
                <c:ptCount val="4"/>
                <c:pt idx="0">
                  <c:v>4923.4400000000005</c:v>
                </c:pt>
                <c:pt idx="1">
                  <c:v>14284.490000000002</c:v>
                </c:pt>
                <c:pt idx="2">
                  <c:v>239.4199999999999</c:v>
                </c:pt>
                <c:pt idx="3">
                  <c:v>1193.08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AD6-4DBF-9F34-0189997D79C6}"/>
            </c:ext>
            <c:ext xmlns:c15="http://schemas.microsoft.com/office/drawing/2012/chart" uri="{02D57815-91ED-43cb-92C2-25804820EDAC}">
              <c15:datalabelsRange>
                <c15:f>('PC-REPR'!$E$102,'PC-REPR'!$E$110,'PC-REPR'!$E$114,'PC-REPR'!$E$116,'PC-REPR'!$E$119,'PC-REPR'!$E$121,'PC-REPR'!$E$123)</c15:f>
                <c15:dlblRangeCache>
                  <c:ptCount val="7"/>
                  <c:pt idx="0">
                    <c:v>11%</c:v>
                  </c:pt>
                  <c:pt idx="1">
                    <c:v>3%</c:v>
                  </c:pt>
                  <c:pt idx="2">
                    <c:v>12%</c:v>
                  </c:pt>
                  <c:pt idx="3">
                    <c:v>6%</c:v>
                  </c:pt>
                  <c:pt idx="4">
                    <c:v>-47%</c:v>
                  </c:pt>
                  <c:pt idx="5">
                    <c:v>1%</c:v>
                  </c:pt>
                  <c:pt idx="6">
                    <c:v>5%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82608"/>
        <c:axId val="-34391856"/>
        <c:axId val="0"/>
      </c:bar3DChart>
      <c:catAx>
        <c:axId val="-343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1856"/>
        <c:crosses val="autoZero"/>
        <c:auto val="1"/>
        <c:lblAlgn val="ctr"/>
        <c:lblOffset val="100"/>
        <c:noMultiLvlLbl val="0"/>
      </c:catAx>
      <c:valAx>
        <c:axId val="-3439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baseline="0">
                <a:effectLst/>
              </a:rPr>
              <a:t>Satsumas: RSU REGEPA 2019 vs 2020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('PC-REPR'!$A$128,'PC-REPR'!$A$134,'PC-REPR'!$A$138,'PC-REPR'!$A$140,'PC-REPR'!$A$142,'PC-REPR'!$A$144)</c15:sqref>
                  </c15:fullRef>
                </c:ext>
              </c:extLst>
              <c:f>('PC-REPR'!$A$128,'PC-REPR'!$A$134,'PC-REPR'!$A$138,'PC-REPR'!$A$142)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('PC-REPR'!$B$128,'PC-REPR'!$B$134,'PC-REPR'!$B$138,'PC-REPR'!$B$140,'PC-REPR'!$B$142,'PC-REPR'!$B$144)</c15:sqref>
                  </c15:fullRef>
                </c:ext>
              </c:extLst>
              <c:f>('PC-REPR'!$B$128,'PC-REPR'!$B$134,'PC-REPR'!$B$138,'PC-REPR'!$B$142)</c:f>
              <c:numCache>
                <c:formatCode>#,##0</c:formatCode>
                <c:ptCount val="4"/>
                <c:pt idx="0">
                  <c:v>171.31</c:v>
                </c:pt>
                <c:pt idx="1">
                  <c:v>4476.6299999999983</c:v>
                </c:pt>
                <c:pt idx="2">
                  <c:v>10.89</c:v>
                </c:pt>
                <c:pt idx="3">
                  <c:v>84.500000000000014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70-4863-A719-02417177E741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FD465B8-82D3-4846-A6C1-9D6AC5F76E5B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370-4863-A719-02417177E741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2BF61F4-9060-4C33-AD54-F051A6CA6FE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2E8AE3A-ED17-4D1E-AAB8-C16089228EB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780C1F-C5F2-484A-82C4-96B0471E07F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('PC-REPR'!$A$128,'PC-REPR'!$A$134,'PC-REPR'!$A$138,'PC-REPR'!$A$140,'PC-REPR'!$A$142,'PC-REPR'!$A$144)</c15:sqref>
                  </c15:fullRef>
                </c:ext>
              </c:extLst>
              <c:f>('PC-REPR'!$A$128,'PC-REPR'!$A$134,'PC-REPR'!$A$138,'PC-REPR'!$A$142)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('PC-REPR'!$C$128,'PC-REPR'!$C$134,'PC-REPR'!$C$138,'PC-REPR'!$C$140,'PC-REPR'!$C$142,'PC-REPR'!$C$144)</c15:sqref>
                  </c15:fullRef>
                </c:ext>
              </c:extLst>
              <c:f>('PC-REPR'!$C$128,'PC-REPR'!$C$134,'PC-REPR'!$C$138,'PC-REPR'!$C$142)</c:f>
              <c:numCache>
                <c:formatCode>#,##0</c:formatCode>
                <c:ptCount val="4"/>
                <c:pt idx="0">
                  <c:v>136.25</c:v>
                </c:pt>
                <c:pt idx="1">
                  <c:v>4426.75</c:v>
                </c:pt>
                <c:pt idx="2">
                  <c:v>162.59999999999994</c:v>
                </c:pt>
                <c:pt idx="3">
                  <c:v>60.42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370-4863-A719-02417177E741}"/>
            </c:ext>
            <c:ext xmlns:c15="http://schemas.microsoft.com/office/drawing/2012/chart" uri="{02D57815-91ED-43cb-92C2-25804820EDAC}">
              <c15:datalabelsRange>
                <c15:f>('PC-REPR'!$E$128,'PC-REPR'!$E$134,'PC-REPR'!$E$138,'PC-REPR'!$E$140,'PC-REPR'!$E$142,'PC-REPR'!$E$144)</c15:f>
                <c15:dlblRangeCache>
                  <c:ptCount val="6"/>
                  <c:pt idx="0">
                    <c:v>-20%</c:v>
                  </c:pt>
                  <c:pt idx="1">
                    <c:v>-1%</c:v>
                  </c:pt>
                  <c:pt idx="2">
                    <c:v>1393%</c:v>
                  </c:pt>
                  <c:pt idx="4">
                    <c:v>-28%</c:v>
                  </c:pt>
                  <c:pt idx="5">
                    <c:v>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86960"/>
        <c:axId val="-34377168"/>
        <c:axId val="0"/>
      </c:bar3DChart>
      <c:catAx>
        <c:axId val="-3438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7168"/>
        <c:crosses val="autoZero"/>
        <c:auto val="1"/>
        <c:lblAlgn val="ctr"/>
        <c:lblOffset val="100"/>
        <c:noMultiLvlLbl val="0"/>
      </c:catAx>
      <c:valAx>
        <c:axId val="-3437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RSU REGEPA 2019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7,4%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295-4896-B9C6-0CDECDA5352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295-4896-B9C6-0CDECDA5352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28B-425B-B154-5E7440A13CB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('LIM-REPR'!$A$8,'LIM-REPR'!$A$16,'LIM-REPR'!$A$18,'LIM-REPR'!$A$20,'LIM-REPR'!$A$24,'LIM-REPR'!$A$26,'LIM-REPR'!$A$28,'LIM-REPR'!$A$32,'LIM-REPR'!$A$35,'LIM-REPR'!$A$40,'LIM-REPR'!$A$42,'LIM-REPR'!$A$45,'LIM-REPR'!$A$47,'LIM-REPR'!$A$49)</c15:sqref>
                  </c15:fullRef>
                </c:ext>
              </c:extLst>
              <c:f>('LIM-REPR'!$A$8,'LIM-REPR'!$A$20,'LIM-REPR'!$A$45)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('LIM-REPR'!$B$8,'LIM-REPR'!$B$16,'LIM-REPR'!$B$18,'LIM-REPR'!$B$20,'LIM-REPR'!$B$24,'LIM-REPR'!$B$26,'LIM-REPR'!$B$28,'LIM-REPR'!$B$32,'LIM-REPR'!$B$35,'LIM-REPR'!$B$40,'LIM-REPR'!$B$42,'LIM-REPR'!$B$45,'LIM-REPR'!$B$47,'LIM-REPR'!$B$49)</c15:sqref>
                  </c15:fullRef>
                </c:ext>
              </c:extLst>
              <c:f>('LIM-REPR'!$B$8,'LIM-REPR'!$B$20,'LIM-REPR'!$B$45)</c:f>
              <c:numCache>
                <c:formatCode>#,##0</c:formatCode>
                <c:ptCount val="3"/>
                <c:pt idx="0">
                  <c:v>3056.01</c:v>
                </c:pt>
                <c:pt idx="1">
                  <c:v>8820.3799999999956</c:v>
                </c:pt>
                <c:pt idx="2">
                  <c:v>14338.739999999987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5-4896-B9C6-0CDECDA5352D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('LIM-REPR'!$A$8,'LIM-REPR'!$A$16,'LIM-REPR'!$A$18,'LIM-REPR'!$A$20,'LIM-REPR'!$A$24,'LIM-REPR'!$A$26,'LIM-REPR'!$A$28,'LIM-REPR'!$A$32,'LIM-REPR'!$A$35,'LIM-REPR'!$A$40,'LIM-REPR'!$A$42,'LIM-REPR'!$A$45,'LIM-REPR'!$A$47,'LIM-REPR'!$A$49)</c15:sqref>
                  </c15:fullRef>
                </c:ext>
              </c:extLst>
              <c:f>('LIM-REPR'!$A$8,'LIM-REPR'!$A$20,'LIM-REPR'!$A$45)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('LIM-REPR'!$C$8,'LIM-REPR'!$C$16,'LIM-REPR'!$C$18,'LIM-REPR'!$C$20,'LIM-REPR'!$C$24,'LIM-REPR'!$C$26,'LIM-REPR'!$C$28,'LIM-REPR'!$C$32,'LIM-REPR'!$C$35,'LIM-REPR'!$C$40,'LIM-REPR'!$C$42,'LIM-REPR'!$C$45,'LIM-REPR'!$C$47,'LIM-REPR'!$C$49)</c15:sqref>
                  </c15:fullRef>
                </c:ext>
              </c:extLst>
              <c:f>('LIM-REPR'!$C$8,'LIM-REPR'!$C$20,'LIM-REPR'!$C$45)</c:f>
              <c:numCache>
                <c:formatCode>#,##0</c:formatCode>
                <c:ptCount val="3"/>
                <c:pt idx="0">
                  <c:v>3283.02</c:v>
                </c:pt>
                <c:pt idx="1">
                  <c:v>9249.23</c:v>
                </c:pt>
                <c:pt idx="2">
                  <c:v>14484.839999999998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5-4896-B9C6-0CDECDA53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88048"/>
        <c:axId val="-34402192"/>
        <c:axId val="0"/>
      </c:bar3DChart>
      <c:catAx>
        <c:axId val="-3438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402192"/>
        <c:crosses val="autoZero"/>
        <c:auto val="1"/>
        <c:lblAlgn val="ctr"/>
        <c:lblOffset val="100"/>
        <c:noMultiLvlLbl val="0"/>
      </c:catAx>
      <c:valAx>
        <c:axId val="-344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Superficies anuales 2020 (ha) vs </a:t>
            </a:r>
          </a:p>
          <a:p>
            <a:pPr>
              <a:defRPr/>
            </a:pPr>
            <a:r>
              <a:rPr lang="en-US"/>
              <a:t>RSU REGEPA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3333333333333333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49,1%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DB2-474C-BDC4-B61F7B367A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111111111111011E-2"/>
                  <c:y val="-9.259259259259343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DB2-474C-BDC4-B61F7B367A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2777777777777778E-2"/>
                  <c:y val="1.07611548556430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56,3%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DB2-474C-BDC4-B61F7B367AA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('LIM-REPR'!$A$8,'LIM-REPR'!$A$16,'LIM-REPR'!$A$18,'LIM-REPR'!$A$20,'LIM-REPR'!$A$24,'LIM-REPR'!$A$26,'LIM-REPR'!$A$28,'LIM-REPR'!$A$32,'LIM-REPR'!$A$35,'LIM-REPR'!$A$40,'LIM-REPR'!$A$42,'LIM-REPR'!$A$45,'LIM-REPR'!$A$47,'LIM-REPR'!$A$49)</c15:sqref>
                  </c15:fullRef>
                </c:ext>
              </c:extLst>
              <c:f>('LIM-REPR'!$A$8,'LIM-REPR'!$A$20,'LIM-REPR'!$A$45)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('LIM-REPR'!$E$8,'LIM-REPR'!$E$16,'LIM-REPR'!$E$18,'LIM-REPR'!$E$20,'LIM-REPR'!$E$24,'LIM-REPR'!$E$26,'LIM-REPR'!$E$28,'LIM-REPR'!$E$32,'LIM-REPR'!$E$35,'LIM-REPR'!$E$40,'LIM-REPR'!$E$42,'LIM-REPR'!$E$45,'LIM-REPR'!$E$47,'LIM-REPR'!$E$49)</c15:sqref>
                  </c15:fullRef>
                </c:ext>
              </c:extLst>
              <c:f>('LIM-REPR'!$E$8,'LIM-REPR'!$E$20,'LIM-REPR'!$E$45)</c:f>
              <c:numCache>
                <c:formatCode>#,##0</c:formatCode>
                <c:ptCount val="3"/>
                <c:pt idx="0">
                  <c:v>6684</c:v>
                </c:pt>
                <c:pt idx="1">
                  <c:v>15108</c:v>
                </c:pt>
                <c:pt idx="2">
                  <c:v>25721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44-44BF-9137-6BFAE07B3819}"/>
            </c:ext>
          </c:extLst>
        </c:ser>
        <c:ser>
          <c:idx val="0"/>
          <c:order val="1"/>
          <c:tx>
            <c:v>RSU REGEPA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('LIM-REPR'!$A$8,'LIM-REPR'!$A$16,'LIM-REPR'!$A$18,'LIM-REPR'!$A$20,'LIM-REPR'!$A$24,'LIM-REPR'!$A$26,'LIM-REPR'!$A$28,'LIM-REPR'!$A$32,'LIM-REPR'!$A$35,'LIM-REPR'!$A$40,'LIM-REPR'!$A$42,'LIM-REPR'!$A$45,'LIM-REPR'!$A$47,'LIM-REPR'!$A$49)</c15:sqref>
                  </c15:fullRef>
                </c:ext>
              </c:extLst>
              <c:f>('LIM-REPR'!$A$8,'LIM-REPR'!$A$20,'LIM-REPR'!$A$45)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('LIM-REPR'!$C$8,'LIM-REPR'!$C$16,'LIM-REPR'!$C$18,'LIM-REPR'!$C$20,'LIM-REPR'!$C$24,'LIM-REPR'!$C$26,'LIM-REPR'!$C$28,'LIM-REPR'!$C$32,'LIM-REPR'!$C$35,'LIM-REPR'!$C$40,'LIM-REPR'!$C$42,'LIM-REPR'!$C$45,'LIM-REPR'!$C$47,'LIM-REPR'!$C$49)</c15:sqref>
                  </c15:fullRef>
                </c:ext>
              </c:extLst>
              <c:f>('LIM-REPR'!$C$8,'LIM-REPR'!$C$20,'LIM-REPR'!$C$45)</c:f>
              <c:numCache>
                <c:formatCode>#,##0</c:formatCode>
                <c:ptCount val="3"/>
                <c:pt idx="0">
                  <c:v>3283.02</c:v>
                </c:pt>
                <c:pt idx="1">
                  <c:v>9249.23</c:v>
                </c:pt>
                <c:pt idx="2">
                  <c:v>14484.839999999998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4-44BF-9137-6BFAE07B38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86416"/>
        <c:axId val="-34389680"/>
        <c:axId val="0"/>
      </c:bar3DChart>
      <c:catAx>
        <c:axId val="-3438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9680"/>
        <c:crosses val="autoZero"/>
        <c:auto val="1"/>
        <c:lblAlgn val="ctr"/>
        <c:lblOffset val="100"/>
        <c:noMultiLvlLbl val="0"/>
      </c:catAx>
      <c:valAx>
        <c:axId val="-34389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Representatividad de la información 
RSU REGEPA vs Superficies 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('LIM-REPR'!$A$8,'LIM-REPR'!$A$20,'LIM-REPR'!$A$26,'LIM-REPR'!$A$28,'LIM-REPR'!$A$32,'LIM-REPR'!$A$35,'LIM-REPR'!$A$40,'LIM-REPR'!$A$42,'LIM-REPR'!$A$45,'LIM-REPR'!$A$47,'LIM-REPR'!$A$49)</c15:sqref>
                  </c15:fullRef>
                </c:ext>
              </c:extLst>
              <c:f>('LIM-REPR'!$A$8,'LIM-REPR'!$A$20,'LIM-REPR'!$A$45,'LIM-REPR'!$A$49)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('LIM-REPR'!$F$8,'LIM-REPR'!$F$20,'LIM-REPR'!$F$26,'LIM-REPR'!$F$28,'LIM-REPR'!$F$32,'LIM-REPR'!$F$35,'LIM-REPR'!$F$40,'LIM-REPR'!$F$42,'LIM-REPR'!$F$45,'LIM-REPR'!$F$47,'LIM-REPR'!$F$49)</c15:sqref>
                  </c15:fullRef>
                </c:ext>
              </c:extLst>
              <c:f>('LIM-REPR'!$F$8,'LIM-REPR'!$F$20,'LIM-REPR'!$F$45,'LIM-REPR'!$F$49)</c:f>
              <c:numCache>
                <c:formatCode>0.0%</c:formatCode>
                <c:ptCount val="4"/>
                <c:pt idx="0">
                  <c:v>0.46735127695366269</c:v>
                </c:pt>
                <c:pt idx="1">
                  <c:v>0.64017854550733022</c:v>
                </c:pt>
                <c:pt idx="2">
                  <c:v>0.55814480342545691</c:v>
                </c:pt>
                <c:pt idx="3">
                  <c:v>0.56327628309485012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D7-4240-ADDE-E76F9AA45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89136"/>
        <c:axId val="-34388592"/>
      </c:barChart>
      <c:catAx>
        <c:axId val="-3438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8592"/>
        <c:crosses val="autoZero"/>
        <c:auto val="1"/>
        <c:lblAlgn val="ctr"/>
        <c:lblOffset val="100"/>
        <c:noMultiLvlLbl val="0"/>
      </c:catAx>
      <c:valAx>
        <c:axId val="-34388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49D-405E-A964-F66C6FFEF00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3738517060367455E-2"/>
                  <c:y val="5.12835374744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49D-405E-A964-F66C6FFEF00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555555555555558E-3"/>
                  <c:y val="6.797171186934966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98-410A-A308-BF98A1CD33CE}"/>
                </c:ext>
                <c:ext xmlns:c15="http://schemas.microsoft.com/office/drawing/2012/chart" uri="{CE6537A1-D6FC-4f65-9D91-7224C49458BB}">
                  <c15:layout>
                    <c:manualLayout>
                      <c:w val="0.2590277777777778"/>
                      <c:h val="0.2187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5435673665791777"/>
                  <c:y val="-2.18791921843102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98-410A-A308-BF98A1CD33C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('LIM-EDAD'!$A$4,'LIM-EDAD'!$A$12,'LIM-EDAD'!$A$14,'LIM-EDAD'!$A$16,'LIM-EDAD'!$A$20,'LIM-EDAD'!$A$22,'LIM-EDAD'!$A$24,'LIM-EDAD'!$A$27,'LIM-EDAD'!$A$30,'LIM-EDAD'!$A$32,'LIM-EDAD'!$A$34,'LIM-EDAD'!$A$37)</c15:sqref>
                  </c15:fullRef>
                </c:ext>
              </c:extLst>
              <c:f>('LIM-EDAD'!$A$4,'LIM-EDAD'!$A$16,'LIM-EDAD'!$A$37)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('LIM-EDAD'!$Z$4,'LIM-EDAD'!$Z$12,'LIM-EDAD'!$Z$14,'LIM-EDAD'!$Z$16,'LIM-EDAD'!$Z$20,'LIM-EDAD'!$Z$22,'LIM-EDAD'!$Z$24,'LIM-EDAD'!$Z$27,'LIM-EDAD'!$Z$30,'LIM-EDAD'!$Z$32,'LIM-EDAD'!$Z$34,'LIM-EDAD'!$Z$37)</c15:sqref>
                  </c15:fullRef>
                </c:ext>
              </c:extLst>
              <c:f>('LIM-EDAD'!$Z$4,'LIM-EDAD'!$Z$16,'LIM-EDAD'!$Z$37)</c:f>
              <c:numCache>
                <c:formatCode>0%</c:formatCode>
                <c:ptCount val="3"/>
                <c:pt idx="0">
                  <c:v>0.12090836505485958</c:v>
                </c:pt>
                <c:pt idx="1">
                  <c:v>0.34063431758452856</c:v>
                </c:pt>
                <c:pt idx="2">
                  <c:v>0.53345344301321107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849D-405E-A964-F66C6FFEF00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'LIM-EDAD'!$Z$12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0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7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'LIM-EDAD'!$Z$14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0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9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'LIM-EDAD'!$Z$20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'LIM-EDAD'!$Z$22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'LIM-EDAD'!$Z$24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'LIM-EDAD'!$Z$27</c15:sqref>
                  <c15:spPr xmlns:c15="http://schemas.microsoft.com/office/drawing/2012/chart"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1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'LIM-EDAD'!$Z$30</c15:sqref>
                  <c15:spPr xmlns:c15="http://schemas.microsoft.com/office/drawing/2012/chart"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3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'LIM-EDAD'!$Z$32</c15:sqref>
                  <c15:spPr xmlns:c15="http://schemas.microsoft.com/office/drawing/2012/chart">
                    <a:solidFill>
                      <a:schemeClr val="accent2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5-8C1C-4749-B543-F0EDCF8B1E1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'LIM-EDAD'!$Z$34</c15:sqref>
                  <c15:spPr xmlns:c15="http://schemas.microsoft.com/office/drawing/2012/chart">
                    <a:solidFill>
                      <a:schemeClr val="accent4">
                        <a:lumMod val="8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7-8C1C-4749-B543-F0EDCF8B1E13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Representatividad </a:t>
            </a:r>
          </a:p>
          <a:p>
            <a:pPr>
              <a:defRPr/>
            </a:pPr>
            <a:r>
              <a:rPr lang="en-US"/>
              <a:t>de la información de Superficies anuales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CA-4F39-9AE0-06BD51011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('LIM-REPR'!$A$8,'LIM-REPR'!$A$16,'LIM-REPR'!$A$18,'LIM-REPR'!$A$20,'LIM-REPR'!$A$24,'LIM-REPR'!$A$26,'LIM-REPR'!$A$28,'LIM-REPR'!$A$32,'LIM-REPR'!$A$35,'LIM-REPR'!$A$40,'LIM-REPR'!$A$42,'LIM-REPR'!$A$45,'LIM-REPR'!$A$47)</c15:sqref>
                  </c15:fullRef>
                </c:ext>
              </c:extLst>
              <c:f>('LIM-REPR'!$A$8,'LIM-REPR'!$A$20,'LIM-REPR'!$A$45)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('LIM-REPR'!$D$8,'LIM-REPR'!$D$16,'LIM-REPR'!$D$18,'LIM-REPR'!$D$20,'LIM-REPR'!$D$24,'LIM-REPR'!$D$26,'LIM-REPR'!$D$28,'LIM-REPR'!$D$32,'LIM-REPR'!$D$35,'LIM-REPR'!$D$40,'LIM-REPR'!$D$42,'LIM-REPR'!$D$45,'LIM-REPR'!$D$47)</c15:sqref>
                  </c15:fullRef>
                </c:ext>
              </c:extLst>
              <c:f>('LIM-REPR'!$D$8,'LIM-REPR'!$D$20,'LIM-REPR'!$D$45)</c:f>
              <c:numCache>
                <c:formatCode>#,##0</c:formatCode>
                <c:ptCount val="3"/>
                <c:pt idx="0">
                  <c:v>6539</c:v>
                </c:pt>
                <c:pt idx="1">
                  <c:v>13778</c:v>
                </c:pt>
                <c:pt idx="2">
                  <c:v>25690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9-475B-A42B-A6B8E8A01BA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'LIM-REPR'!$D$16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'LIM-REPR'!$D$18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'LIM-REPR'!$D$24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'LIM-REPR'!$D$26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'LIM-REPR'!$D$28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'LIM-REPR'!$D$32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1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'LIM-REPR'!$D$35</c15:sqref>
                  <c15:spPr xmlns:c15="http://schemas.microsoft.com/office/drawing/2012/chart">
                    <a:solidFill>
                      <a:schemeClr val="accent3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3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'LIM-REPR'!$D$40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5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'LIM-REPR'!$D$42</c15:sqref>
                  <c15:spPr xmlns:c15="http://schemas.microsoft.com/office/drawing/2012/chart">
                    <a:solidFill>
                      <a:schemeClr val="accent5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7-8200-4046-BDF1-C477BF64FC2B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'LIM-REPR'!$D$47</c15:sqref>
                  <c15:spPr xmlns:c15="http://schemas.microsoft.com/office/drawing/2012/chart"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9-8200-4046-BDF1-C477BF64FC2B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RSU REGEPA 2019 vs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25949256342957"/>
          <c:y val="0.17634530346132929"/>
          <c:w val="0.83129396325459315"/>
          <c:h val="0.62489736529274476"/>
        </c:manualLayout>
      </c:layout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-5.5555555555555552E-2"/>
                </c:manualLayout>
              </c:layout>
              <c:tx>
                <c:rich>
                  <a:bodyPr/>
                  <a:lstStyle/>
                  <a:p>
                    <a:fld id="{75DD894D-1ED2-436A-919A-CDFC91985E4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D0-4311-AE1F-28B7A3E2E10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1.6666666666666666E-2"/>
                  <c:y val="-5.0925925925925923E-2"/>
                </c:manualLayout>
              </c:layout>
              <c:tx>
                <c:rich>
                  <a:bodyPr/>
                  <a:lstStyle/>
                  <a:p>
                    <a:fld id="{41137B10-519A-4D96-8D53-73773559E36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D0-4311-AE1F-28B7A3E2E10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0.05"/>
                  <c:y val="-3.7037037037037056E-2"/>
                </c:manualLayout>
              </c:layout>
              <c:tx>
                <c:rich>
                  <a:bodyPr/>
                  <a:lstStyle/>
                  <a:p>
                    <a:fld id="{7578C229-87A7-4662-BEE0-5C27E77FB2F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D0-4311-AE1F-28B7A3E2E10A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('POM-REPR'!$A$8,'POM-REPR'!$A$16,'POM-REPR'!$A$20,'POM-REPR'!$A$22,'POM-REPR'!$A$24,'POM-REPR'!$A$26,'POM-REPR'!$A$29,'POM-REPR'!$A$31)</c15:sqref>
                  </c15:fullRef>
                </c:ext>
              </c:extLst>
              <c:f>('POM-REPR'!$A$8,'POM-REPR'!$A$16,'POM-REPR'!$A$29)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('POM-REPR'!$B$8,'POM-REPR'!$B$16,'POM-REPR'!$B$20,'POM-REPR'!$B$22,'POM-REPR'!$B$24,'POM-REPR'!$B$26,'POM-REPR'!$B$29,'POM-REPR'!$B$31)</c15:sqref>
                  </c15:fullRef>
                </c:ext>
              </c:extLst>
              <c:f>('POM-REPR'!$B$8,'POM-REPR'!$B$16,'POM-REPR'!$B$29)</c:f>
              <c:numCache>
                <c:formatCode>#,##0</c:formatCode>
                <c:ptCount val="3"/>
                <c:pt idx="0">
                  <c:v>637.16000000000008</c:v>
                </c:pt>
                <c:pt idx="1">
                  <c:v>395.28</c:v>
                </c:pt>
                <c:pt idx="2">
                  <c:v>856.16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D0-4311-AE1F-28B7A3E2E10A}"/>
            </c:ext>
            <c:ext xmlns:c15="http://schemas.microsoft.com/office/drawing/2012/chart" uri="{02D57815-91ED-43cb-92C2-25804820EDAC}">
              <c15:datalabelsRange>
                <c15:f>('POM-REPR'!$I$8,'POM-REPR'!$I$16,'POM-REPR'!$I$20,'POM-REPR'!$I$22,'POM-REPR'!$I$24,'POM-REPR'!$I$26,'POM-REPR'!$I$29,'POM-REPR'!$I$31)</c15:f>
                <c15:dlblRangeCache>
                  <c:ptCount val="8"/>
                  <c:pt idx="0">
                    <c:v>18,2%</c:v>
                  </c:pt>
                  <c:pt idx="1">
                    <c:v>16,2%</c:v>
                  </c:pt>
                  <c:pt idx="3">
                    <c:v>369,8%</c:v>
                  </c:pt>
                  <c:pt idx="4">
                    <c:v>-38,3%</c:v>
                  </c:pt>
                  <c:pt idx="6">
                    <c:v>0,1%</c:v>
                  </c:pt>
                  <c:pt idx="7">
                    <c:v>9,7%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'POM-REPR'!$B$20</c15:sqref>
                  <c15:dLbl>
                    <c:idx val="1"/>
                    <c:tx>
                      <c:rich>
                        <a:bodyPr/>
                        <a:lstStyle/>
                        <a:p>
                          <a:endParaRPr lang="es-E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0-5C6C-424A-9C7E-5B8D1A0FDCD4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'POM-REPR'!$B$24</c15:sqref>
                  <c15:dLbl>
                    <c:idx val="1"/>
                    <c:layout>
                      <c:manualLayout>
                        <c:x val="1.9444444444444445E-2"/>
                        <c:y val="-1.3888888888888973E-2"/>
                      </c:manualLayout>
                    </c:layout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5C6C-424A-9C7E-5B8D1A0FDCD4}"/>
                      </c:ext>
                      <c:ext uri="{CE6537A1-D6FC-4f65-9D91-7224C49458BB}">
                        <c15:dlblFieldTable/>
                        <c15:showDataLabelsRange val="1"/>
                      </c:ext>
                    </c:extLst>
                  </c15:dLbl>
                </c15:categoryFilterException>
                <c15:categoryFilterException>
                  <c15:sqref>'POM-REPR'!$B$26</c15:sqref>
                  <c15:dLbl>
                    <c:idx val="1"/>
                    <c:tx>
                      <c:rich>
                        <a:bodyPr/>
                        <a:lstStyle/>
                        <a:p>
                          <a:endParaRPr lang="es-E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5C6C-424A-9C7E-5B8D1A0FDCD4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('POM-REPR'!$A$8,'POM-REPR'!$A$16,'POM-REPR'!$A$20,'POM-REPR'!$A$22,'POM-REPR'!$A$24,'POM-REPR'!$A$26,'POM-REPR'!$A$29,'POM-REPR'!$A$31)</c15:sqref>
                  </c15:fullRef>
                </c:ext>
              </c:extLst>
              <c:f>('POM-REPR'!$A$8,'POM-REPR'!$A$16,'POM-REPR'!$A$29)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('POM-REPR'!$C$8,'POM-REPR'!$C$16,'POM-REPR'!$C$20,'POM-REPR'!$C$22,'POM-REPR'!$C$24,'POM-REPR'!$C$26,'POM-REPR'!$C$29,'POM-REPR'!$C$31)</c15:sqref>
                  </c15:fullRef>
                </c:ext>
              </c:extLst>
              <c:f>('POM-REPR'!$C$8,'POM-REPR'!$C$16,'POM-REPR'!$C$29)</c:f>
              <c:numCache>
                <c:formatCode>#,##0</c:formatCode>
                <c:ptCount val="3"/>
                <c:pt idx="0">
                  <c:v>753.16</c:v>
                </c:pt>
                <c:pt idx="1">
                  <c:v>459.25999999999988</c:v>
                </c:pt>
                <c:pt idx="2">
                  <c:v>857.36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D0-4311-AE1F-28B7A3E2E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97296"/>
        <c:axId val="-34370640"/>
        <c:axId val="0"/>
      </c:bar3DChart>
      <c:catAx>
        <c:axId val="-3439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0640"/>
        <c:crosses val="autoZero"/>
        <c:auto val="1"/>
        <c:lblAlgn val="ctr"/>
        <c:lblOffset val="100"/>
        <c:noMultiLvlLbl val="0"/>
      </c:catAx>
      <c:valAx>
        <c:axId val="-3437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Superficies anuales 2020 (ha) vs </a:t>
            </a:r>
          </a:p>
          <a:p>
            <a:pPr>
              <a:defRPr/>
            </a:pPr>
            <a:r>
              <a:rPr lang="en-US"/>
              <a:t>RSU REGEPA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3.6111111111111059E-2"/>
                  <c:y val="-3.2407407407407406E-2"/>
                </c:manualLayout>
              </c:layout>
              <c:tx>
                <c:rich>
                  <a:bodyPr/>
                  <a:lstStyle/>
                  <a:p>
                    <a:fld id="{DE2C8F75-4DE7-40AA-A748-5B73216A6BB1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3B-4631-B73F-1F72DE6162A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4.4444444444444446E-2"/>
                  <c:y val="-9.2592592592592587E-3"/>
                </c:manualLayout>
              </c:layout>
              <c:tx>
                <c:rich>
                  <a:bodyPr/>
                  <a:lstStyle/>
                  <a:p>
                    <a:fld id="{3AEA7150-1C4F-4E43-8FEC-5A9A4585195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3B-4631-B73F-1F72DE6162A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3.6111111111111212E-2"/>
                  <c:y val="-4.2437781360066642E-17"/>
                </c:manualLayout>
              </c:layout>
              <c:tx>
                <c:rich>
                  <a:bodyPr/>
                  <a:lstStyle/>
                  <a:p>
                    <a:fld id="{367BF524-AFA3-404C-8EE2-2CB5228E7C6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B3B-4631-B73F-1F72DE6162AF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('POM-REPR'!$A$8,'POM-REPR'!$A$16,'POM-REPR'!$A$20,'POM-REPR'!$A$22,'POM-REPR'!$A$24,'POM-REPR'!$A$26,'POM-REPR'!$A$29,'POM-REPR'!$A$31)</c15:sqref>
                  </c15:fullRef>
                </c:ext>
              </c:extLst>
              <c:f>('POM-REPR'!$A$8,'POM-REPR'!$A$16,'POM-REPR'!$A$29)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('POM-REPR'!$E$8,'POM-REPR'!$E$16,'POM-REPR'!$E$20,'POM-REPR'!$E$22,'POM-REPR'!$E$24,'POM-REPR'!$E$26,'POM-REPR'!$E$29,'POM-REPR'!$E$31)</c15:sqref>
                  </c15:fullRef>
                </c:ext>
              </c:extLst>
              <c:f>('POM-REPR'!$E$8,'POM-REPR'!$E$16,'POM-REPR'!$E$29)</c:f>
              <c:numCache>
                <c:formatCode>#,##0</c:formatCode>
                <c:ptCount val="3"/>
                <c:pt idx="0">
                  <c:v>877</c:v>
                </c:pt>
                <c:pt idx="1">
                  <c:v>717</c:v>
                </c:pt>
                <c:pt idx="2">
                  <c:v>1014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CE9-4092-BEDD-514F1575E6A6}"/>
            </c:ext>
            <c:ext xmlns:c15="http://schemas.microsoft.com/office/drawing/2012/chart" uri="{02D57815-91ED-43cb-92C2-25804820EDAC}">
              <c15:datalabelsRange>
                <c15:f>('POM-REPR'!$G$8,'POM-REPR'!$G$16,'POM-REPR'!$G$20,'POM-REPR'!$G$22,'POM-REPR'!$G$24,'POM-REPR'!$G$26,'POM-REPR'!$G$29,'POM-REPR'!$G$31)</c15:f>
                <c15:dlblRangeCache>
                  <c:ptCount val="8"/>
                  <c:pt idx="0">
                    <c:v>85,9%</c:v>
                  </c:pt>
                  <c:pt idx="1">
                    <c:v>64,1%</c:v>
                  </c:pt>
                  <c:pt idx="3">
                    <c:v>202,0%</c:v>
                  </c:pt>
                  <c:pt idx="4">
                    <c:v>4,1%</c:v>
                  </c:pt>
                  <c:pt idx="5">
                    <c:v>10,5%</c:v>
                  </c:pt>
                  <c:pt idx="6">
                    <c:v>84,6%</c:v>
                  </c:pt>
                  <c:pt idx="7">
                    <c:v>78,9%</c:v>
                  </c:pt>
                </c15:dlblRangeCache>
              </c15:datalabelsRange>
            </c:ext>
          </c:extLst>
        </c:ser>
        <c:ser>
          <c:idx val="0"/>
          <c:order val="1"/>
          <c:tx>
            <c:v>RSU REGEPA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('POM-REPR'!$A$8,'POM-REPR'!$A$16,'POM-REPR'!$A$20,'POM-REPR'!$A$22,'POM-REPR'!$A$24,'POM-REPR'!$A$26,'POM-REPR'!$A$29,'POM-REPR'!$A$31)</c15:sqref>
                  </c15:fullRef>
                </c:ext>
              </c:extLst>
              <c:f>('POM-REPR'!$A$8,'POM-REPR'!$A$16,'POM-REPR'!$A$29)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('POM-REPR'!$C$8,'POM-REPR'!$C$16,'POM-REPR'!$C$20,'POM-REPR'!$C$22,'POM-REPR'!$C$24,'POM-REPR'!$C$26,'POM-REPR'!$C$29,'POM-REPR'!$C$31)</c15:sqref>
                  </c15:fullRef>
                </c:ext>
              </c:extLst>
              <c:f>('POM-REPR'!$C$8,'POM-REPR'!$C$16,'POM-REPR'!$C$29)</c:f>
              <c:numCache>
                <c:formatCode>#,##0</c:formatCode>
                <c:ptCount val="3"/>
                <c:pt idx="0">
                  <c:v>753.16</c:v>
                </c:pt>
                <c:pt idx="1">
                  <c:v>459.25999999999988</c:v>
                </c:pt>
                <c:pt idx="2">
                  <c:v>857.36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E9-4092-BEDD-514F1575E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76624"/>
        <c:axId val="-34375536"/>
        <c:axId val="0"/>
      </c:bar3DChart>
      <c:catAx>
        <c:axId val="-3437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5536"/>
        <c:crosses val="autoZero"/>
        <c:auto val="1"/>
        <c:lblAlgn val="ctr"/>
        <c:lblOffset val="100"/>
        <c:noMultiLvlLbl val="0"/>
      </c:catAx>
      <c:valAx>
        <c:axId val="-34375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Representatividad de la información 
RSU REGEPA vs Superficies anuales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('POM-REPR'!$A$8,'POM-REPR'!$A$16,'POM-REPR'!$A$24,'POM-REPR'!$A$29,'POM-REPR'!$A$31)</c15:sqref>
                  </c15:fullRef>
                </c:ext>
              </c:extLst>
              <c:f>('POM-REPR'!$A$8,'POM-REPR'!$A$16,'POM-REPR'!$A$29,'POM-REPR'!$A$31)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('POM-REPR'!$F$8,'POM-REPR'!$F$16,'POM-REPR'!$F$24,'POM-REPR'!$F$29,'POM-REPR'!$F$31)</c15:sqref>
                  </c15:fullRef>
                </c:ext>
              </c:extLst>
              <c:f>('POM-REPR'!$F$8,'POM-REPR'!$F$16,'POM-REPR'!$F$29,'POM-REPR'!$F$31)</c:f>
              <c:numCache>
                <c:formatCode>0.0%</c:formatCode>
                <c:ptCount val="4"/>
                <c:pt idx="0">
                  <c:v>0.92880466472303214</c:v>
                </c:pt>
                <c:pt idx="1">
                  <c:v>0.51135834411384218</c:v>
                </c:pt>
                <c:pt idx="2">
                  <c:v>0.89462904911180774</c:v>
                </c:pt>
                <c:pt idx="3">
                  <c:v>0.7762941659819228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96-48A0-8EC4-0B5E4E2E1F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91312"/>
        <c:axId val="-34385328"/>
      </c:barChart>
      <c:catAx>
        <c:axId val="-3439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5328"/>
        <c:crosses val="autoZero"/>
        <c:auto val="1"/>
        <c:lblAlgn val="ctr"/>
        <c:lblOffset val="100"/>
        <c:noMultiLvlLbl val="0"/>
      </c:catAx>
      <c:valAx>
        <c:axId val="-3438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1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SUPERFICIES DE CULTIVO MAPA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179155730533683"/>
          <c:y val="0.14333041703120444"/>
          <c:w val="0.51122397200349956"/>
          <c:h val="0.85203995333916593"/>
        </c:manualLayout>
      </c:layout>
      <c:pieChart>
        <c:varyColors val="1"/>
        <c:ser>
          <c:idx val="0"/>
          <c:order val="0"/>
          <c:tx>
            <c:v>superficie (ha)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Cítricos!$B$50:$B$53</c:f>
              <c:strCache>
                <c:ptCount val="4"/>
                <c:pt idx="0">
                  <c:v>naranjo</c:v>
                </c:pt>
                <c:pt idx="1">
                  <c:v>pequeños cítricos</c:v>
                </c:pt>
                <c:pt idx="2">
                  <c:v>limonero</c:v>
                </c:pt>
                <c:pt idx="3">
                  <c:v>pomelo</c:v>
                </c:pt>
              </c:strCache>
            </c:strRef>
          </c:cat>
          <c:val>
            <c:numRef>
              <c:f>Cítricos!$C$50:$C$53</c:f>
              <c:numCache>
                <c:formatCode>General</c:formatCode>
                <c:ptCount val="4"/>
                <c:pt idx="0">
                  <c:v>141127</c:v>
                </c:pt>
                <c:pt idx="1">
                  <c:v>106018</c:v>
                </c:pt>
                <c:pt idx="2">
                  <c:v>48196</c:v>
                </c:pt>
                <c:pt idx="3">
                  <c:v>2628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Distribución autonómica de la superficie plantada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6AF-49DD-ABCB-4FB303FF7635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6AF-49DD-ABCB-4FB303FF7635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('POM-EDAD'!$A$4,'POM-EDAD'!$A$11,'POM-EDAD'!$A$15,'POM-EDAD'!$A$17,'POM-EDAD'!$A$19,'POM-EDAD'!$A$21,'POM-EDAD'!$A$24)</c15:sqref>
                  </c15:fullRef>
                </c:ext>
              </c:extLst>
              <c:f>('POM-EDAD'!$A$4,'POM-EDAD'!$A$11,'POM-EDAD'!$A$24)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('POM-EDAD'!$Z$4,'POM-EDAD'!$Z$11,'POM-EDAD'!$Z$15,'POM-EDAD'!$Z$17,'POM-EDAD'!$Z$19,'POM-EDAD'!$Z$21,'POM-EDAD'!$Z$24)</c15:sqref>
                  </c15:fullRef>
                </c:ext>
              </c:extLst>
              <c:f>('POM-EDAD'!$Z$4,'POM-EDAD'!$Z$11,'POM-EDAD'!$Z$24)</c:f>
              <c:numCache>
                <c:formatCode>0%</c:formatCode>
                <c:ptCount val="3"/>
                <c:pt idx="0">
                  <c:v>0.36324526627504311</c:v>
                </c:pt>
                <c:pt idx="1">
                  <c:v>0.22149877979377061</c:v>
                </c:pt>
                <c:pt idx="2">
                  <c:v>0.41350040030481039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6AF-49DD-ABCB-4FB303FF763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'POM-EDAD'!$Z$15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7-7759-44BC-9F52-68987CD176D9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'POM-EDAD'!$Z$17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9-7759-44BC-9F52-68987CD176D9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'POM-EDAD'!$Z$19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7759-44BC-9F52-68987CD176D9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'POM-EDAD'!$Z$21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7759-44BC-9F52-68987CD176D9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Representatividad </a:t>
            </a:r>
          </a:p>
          <a:p>
            <a:pPr>
              <a:defRPr/>
            </a:pPr>
            <a:r>
              <a:rPr lang="en-US"/>
              <a:t>de la información de</a:t>
            </a:r>
            <a:r>
              <a:rPr lang="en-US" baseline="0"/>
              <a:t> Superficies anuales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C5-47E3-B1BD-33D01FBEABD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C5-47E3-B1BD-33D01FBEABD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('POM-REPR'!$A$8,'POM-REPR'!$A$16,'POM-REPR'!$A$20,'POM-REPR'!$A$22,'POM-REPR'!$A$24,'POM-REPR'!$A$26,'POM-REPR'!$A$29)</c15:sqref>
                  </c15:fullRef>
                </c:ext>
              </c:extLst>
              <c:f>('POM-REPR'!$A$8,'POM-REPR'!$A$16,'POM-REPR'!$A$29)</c:f>
              <c:strCache>
                <c:ptCount val="3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('POM-REPR'!$D$8,'POM-REPR'!$D$16,'POM-REPR'!$D$20,'POM-REPR'!$D$22,'POM-REPR'!$D$24,'POM-REPR'!$D$26,'POM-REPR'!$D$29)</c15:sqref>
                  </c15:fullRef>
                </c:ext>
              </c:extLst>
              <c:f>('POM-REPR'!$D$8,'POM-REPR'!$D$16,'POM-REPR'!$D$29)</c:f>
              <c:numCache>
                <c:formatCode>#,##0</c:formatCode>
                <c:ptCount val="3"/>
                <c:pt idx="0">
                  <c:v>686</c:v>
                </c:pt>
                <c:pt idx="1">
                  <c:v>773</c:v>
                </c:pt>
                <c:pt idx="2">
                  <c:v>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C2-45AD-81B5-3F9F987B35A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'POM-REPR'!$D$20</c15:sqref>
                  <c15:spPr xmlns:c15="http://schemas.microsoft.com/office/drawing/2012/chart">
                    <a:solidFill>
                      <a:schemeClr val="accent3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'POM-REPR'!$D$22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'POM-REPR'!$D$24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3AD5-4BE1-BB10-DA3D2823C974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'POM-REPR'!$D$26</c15:sqref>
                  <c15:spPr xmlns:c15="http://schemas.microsoft.com/office/drawing/2012/chart">
                    <a:solidFill>
                      <a:schemeClr val="accent6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Sin info.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88-42B7-B461-629B345D42D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'NAR-EDAD'!$A$42:$A$52</c15:sqref>
                  </c15:fullRef>
                </c:ext>
              </c:extLst>
              <c:f>('NAR-EDAD'!$A$42,'NAR-EDAD'!$A$44,'NAR-EDAD'!$A$49,'NAR-EDAD'!$A$51:$A$52)</c:f>
              <c:strCache>
                <c:ptCount val="5"/>
                <c:pt idx="0">
                  <c:v>ANDALUCIA</c:v>
                </c:pt>
                <c:pt idx="1">
                  <c:v>C. VALENCIANA</c:v>
                </c:pt>
                <c:pt idx="2">
                  <c:v>I. BALEARES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'NAR-EDAD'!$X$42:$X$52</c15:sqref>
                  </c15:fullRef>
                </c:ext>
              </c:extLst>
              <c:f>('NAR-EDAD'!$X$42,'NAR-EDAD'!$X$44,'NAR-EDAD'!$X$49,'NAR-EDAD'!$X$51:$X$52)</c:f>
              <c:numCache>
                <c:formatCode>0.0%</c:formatCode>
                <c:ptCount val="5"/>
                <c:pt idx="0" formatCode="0.00%">
                  <c:v>4.9349960728552373E-4</c:v>
                </c:pt>
                <c:pt idx="1">
                  <c:v>4.5264965147541383E-3</c:v>
                </c:pt>
                <c:pt idx="2">
                  <c:v>5.307147621007223E-3</c:v>
                </c:pt>
                <c:pt idx="3">
                  <c:v>1.3523346472802409E-2</c:v>
                </c:pt>
                <c:pt idx="4">
                  <c:v>4.4610365334774617E-3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69-4684-A6C0-51994AC52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4394032"/>
        <c:axId val="-34400016"/>
      </c:barChart>
      <c:catAx>
        <c:axId val="-34394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400016"/>
        <c:crosses val="autoZero"/>
        <c:auto val="1"/>
        <c:lblAlgn val="ctr"/>
        <c:lblOffset val="100"/>
        <c:noMultiLvlLbl val="0"/>
      </c:catAx>
      <c:valAx>
        <c:axId val="-34400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4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Naranjo: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'NAR-EDAD'!$A$37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'NAR-EDAD'!$B$37:$W$37</c:f>
              <c:numCache>
                <c:formatCode>#,##0</c:formatCode>
                <c:ptCount val="22"/>
                <c:pt idx="0">
                  <c:v>39404.079999999958</c:v>
                </c:pt>
                <c:pt idx="1">
                  <c:v>8742.52</c:v>
                </c:pt>
                <c:pt idx="2">
                  <c:v>2316.66</c:v>
                </c:pt>
                <c:pt idx="3">
                  <c:v>2691.26</c:v>
                </c:pt>
                <c:pt idx="4">
                  <c:v>2958.16</c:v>
                </c:pt>
                <c:pt idx="5">
                  <c:v>4726.3099999999995</c:v>
                </c:pt>
                <c:pt idx="6">
                  <c:v>6227.31</c:v>
                </c:pt>
                <c:pt idx="7">
                  <c:v>5242.33</c:v>
                </c:pt>
                <c:pt idx="8">
                  <c:v>3595.2400000000002</c:v>
                </c:pt>
                <c:pt idx="9">
                  <c:v>3190.05</c:v>
                </c:pt>
                <c:pt idx="10">
                  <c:v>2870.27</c:v>
                </c:pt>
                <c:pt idx="11">
                  <c:v>3821.48</c:v>
                </c:pt>
                <c:pt idx="12">
                  <c:v>1823.1599999999999</c:v>
                </c:pt>
                <c:pt idx="13">
                  <c:v>1780.2200000000003</c:v>
                </c:pt>
                <c:pt idx="14">
                  <c:v>1831.04</c:v>
                </c:pt>
                <c:pt idx="15">
                  <c:v>1699.1</c:v>
                </c:pt>
                <c:pt idx="16">
                  <c:v>1678.2299999999998</c:v>
                </c:pt>
                <c:pt idx="17">
                  <c:v>1757.7399999999998</c:v>
                </c:pt>
                <c:pt idx="18">
                  <c:v>2160.88</c:v>
                </c:pt>
                <c:pt idx="19">
                  <c:v>3943.1399999999994</c:v>
                </c:pt>
                <c:pt idx="20">
                  <c:v>2965.0499999999997</c:v>
                </c:pt>
                <c:pt idx="21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C-4300-B350-24E9A811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401648"/>
        <c:axId val="-34396208"/>
      </c:barChart>
      <c:catAx>
        <c:axId val="-3440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6208"/>
        <c:crosses val="autoZero"/>
        <c:auto val="1"/>
        <c:lblAlgn val="ctr"/>
        <c:lblOffset val="100"/>
        <c:noMultiLvlLbl val="0"/>
      </c:catAx>
      <c:valAx>
        <c:axId val="-3439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40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'NAR-EDAD'!$B$4:$W$4</c:f>
              <c:numCache>
                <c:formatCode>#,##0</c:formatCode>
                <c:ptCount val="22"/>
                <c:pt idx="0">
                  <c:v>14510.69</c:v>
                </c:pt>
                <c:pt idx="1">
                  <c:v>3426.8999999999996</c:v>
                </c:pt>
                <c:pt idx="2">
                  <c:v>1040.3700000000001</c:v>
                </c:pt>
                <c:pt idx="3">
                  <c:v>1328.48</c:v>
                </c:pt>
                <c:pt idx="4">
                  <c:v>1663.69</c:v>
                </c:pt>
                <c:pt idx="5">
                  <c:v>2611.38</c:v>
                </c:pt>
                <c:pt idx="6">
                  <c:v>3515.8599999999997</c:v>
                </c:pt>
                <c:pt idx="7">
                  <c:v>3957.35</c:v>
                </c:pt>
                <c:pt idx="8">
                  <c:v>2331.37</c:v>
                </c:pt>
                <c:pt idx="9">
                  <c:v>1767.3300000000002</c:v>
                </c:pt>
                <c:pt idx="10">
                  <c:v>1530.41</c:v>
                </c:pt>
                <c:pt idx="11">
                  <c:v>1424.5299999999997</c:v>
                </c:pt>
                <c:pt idx="12">
                  <c:v>887.28</c:v>
                </c:pt>
                <c:pt idx="13">
                  <c:v>689.32999999999993</c:v>
                </c:pt>
                <c:pt idx="14">
                  <c:v>999.49999999999989</c:v>
                </c:pt>
                <c:pt idx="15">
                  <c:v>603.70000000000005</c:v>
                </c:pt>
                <c:pt idx="16">
                  <c:v>730.83999999999992</c:v>
                </c:pt>
                <c:pt idx="17">
                  <c:v>949.33</c:v>
                </c:pt>
                <c:pt idx="18">
                  <c:v>1141.82</c:v>
                </c:pt>
                <c:pt idx="19">
                  <c:v>2417.15</c:v>
                </c:pt>
                <c:pt idx="20">
                  <c:v>1808.9499999999998</c:v>
                </c:pt>
                <c:pt idx="21">
                  <c:v>993.54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'NAR-EDAD'!$A$15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'NAR-EDAD'!$B$3:$W$3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'NAR-EDAD'!$B$15:$W$15</c:f>
              <c:numCache>
                <c:formatCode>#,##0</c:formatCode>
                <c:ptCount val="22"/>
                <c:pt idx="0">
                  <c:v>22346.460000000003</c:v>
                </c:pt>
                <c:pt idx="1">
                  <c:v>4673.2000000000007</c:v>
                </c:pt>
                <c:pt idx="2">
                  <c:v>979.08000000000015</c:v>
                </c:pt>
                <c:pt idx="3">
                  <c:v>1115.82</c:v>
                </c:pt>
                <c:pt idx="4">
                  <c:v>1016.23</c:v>
                </c:pt>
                <c:pt idx="5">
                  <c:v>1838.7100000000005</c:v>
                </c:pt>
                <c:pt idx="6">
                  <c:v>2064.33</c:v>
                </c:pt>
                <c:pt idx="7">
                  <c:v>963.31999999999994</c:v>
                </c:pt>
                <c:pt idx="8">
                  <c:v>967.57999999999993</c:v>
                </c:pt>
                <c:pt idx="9">
                  <c:v>1162.76</c:v>
                </c:pt>
                <c:pt idx="10">
                  <c:v>1179.07</c:v>
                </c:pt>
                <c:pt idx="11">
                  <c:v>1953.5500000000002</c:v>
                </c:pt>
                <c:pt idx="12">
                  <c:v>767.43000000000006</c:v>
                </c:pt>
                <c:pt idx="13">
                  <c:v>916.16</c:v>
                </c:pt>
                <c:pt idx="14">
                  <c:v>741.55000000000018</c:v>
                </c:pt>
                <c:pt idx="15">
                  <c:v>862.23</c:v>
                </c:pt>
                <c:pt idx="16">
                  <c:v>768.34</c:v>
                </c:pt>
                <c:pt idx="17">
                  <c:v>628.26</c:v>
                </c:pt>
                <c:pt idx="18">
                  <c:v>853.20000000000016</c:v>
                </c:pt>
                <c:pt idx="19">
                  <c:v>1336.4599999999998</c:v>
                </c:pt>
                <c:pt idx="20">
                  <c:v>957.22</c:v>
                </c:pt>
                <c:pt idx="21">
                  <c:v>265.35999999999996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84784"/>
        <c:axId val="-34384240"/>
      </c:barChart>
      <c:catAx>
        <c:axId val="-3438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4240"/>
        <c:crosses val="autoZero"/>
        <c:auto val="1"/>
        <c:lblAlgn val="ctr"/>
        <c:lblOffset val="100"/>
        <c:noMultiLvlLbl val="0"/>
      </c:catAx>
      <c:valAx>
        <c:axId val="-34384240"/>
        <c:scaling>
          <c:orientation val="minMax"/>
          <c:max val="2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'NAR-EDAD'!$B$55:$W$55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'NAR-EDAD'!$B$56:$W$56</c:f>
              <c:numCache>
                <c:formatCode>#,##0</c:formatCode>
                <c:ptCount val="22"/>
                <c:pt idx="0">
                  <c:v>39404.079999999958</c:v>
                </c:pt>
                <c:pt idx="1">
                  <c:v>8742.52</c:v>
                </c:pt>
                <c:pt idx="2">
                  <c:v>2316.66</c:v>
                </c:pt>
                <c:pt idx="3">
                  <c:v>2691.26</c:v>
                </c:pt>
                <c:pt idx="4">
                  <c:v>2958.16</c:v>
                </c:pt>
                <c:pt idx="5">
                  <c:v>4726.3099999999995</c:v>
                </c:pt>
                <c:pt idx="6">
                  <c:v>6227.31</c:v>
                </c:pt>
                <c:pt idx="7">
                  <c:v>5242.33</c:v>
                </c:pt>
                <c:pt idx="8">
                  <c:v>3595.2400000000002</c:v>
                </c:pt>
                <c:pt idx="9">
                  <c:v>3190.05</c:v>
                </c:pt>
                <c:pt idx="10">
                  <c:v>2870.27</c:v>
                </c:pt>
                <c:pt idx="11">
                  <c:v>3821.48</c:v>
                </c:pt>
                <c:pt idx="12">
                  <c:v>1823.1599999999999</c:v>
                </c:pt>
                <c:pt idx="13">
                  <c:v>1780.2200000000003</c:v>
                </c:pt>
                <c:pt idx="14">
                  <c:v>1831.04</c:v>
                </c:pt>
                <c:pt idx="15">
                  <c:v>1699.1</c:v>
                </c:pt>
                <c:pt idx="16">
                  <c:v>1678.2299999999998</c:v>
                </c:pt>
                <c:pt idx="17">
                  <c:v>1757.7399999999998</c:v>
                </c:pt>
                <c:pt idx="18">
                  <c:v>2160.88</c:v>
                </c:pt>
                <c:pt idx="19">
                  <c:v>3943.1399999999994</c:v>
                </c:pt>
                <c:pt idx="20">
                  <c:v>2965.0499999999997</c:v>
                </c:pt>
                <c:pt idx="21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'NAR-EDAD'!$B$55:$W$55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'NAR-EDAD'!$B$57:$W$57</c:f>
              <c:numCache>
                <c:formatCode>#,##0</c:formatCode>
                <c:ptCount val="22"/>
                <c:pt idx="0">
                  <c:v>28649.28999999999</c:v>
                </c:pt>
                <c:pt idx="1">
                  <c:v>8148.5899999999983</c:v>
                </c:pt>
                <c:pt idx="2">
                  <c:v>2499.3200000000002</c:v>
                </c:pt>
                <c:pt idx="3">
                  <c:v>2875.9799999999996</c:v>
                </c:pt>
                <c:pt idx="4">
                  <c:v>2573.5099999999993</c:v>
                </c:pt>
                <c:pt idx="5">
                  <c:v>3856.29</c:v>
                </c:pt>
                <c:pt idx="6">
                  <c:v>3048.75</c:v>
                </c:pt>
                <c:pt idx="7">
                  <c:v>1391.82</c:v>
                </c:pt>
                <c:pt idx="8">
                  <c:v>1500.42</c:v>
                </c:pt>
                <c:pt idx="9">
                  <c:v>1492.8999999999999</c:v>
                </c:pt>
                <c:pt idx="10">
                  <c:v>1424.6400000000003</c:v>
                </c:pt>
                <c:pt idx="11">
                  <c:v>2600.7199999999998</c:v>
                </c:pt>
                <c:pt idx="12">
                  <c:v>1466.02</c:v>
                </c:pt>
                <c:pt idx="13">
                  <c:v>2004.96</c:v>
                </c:pt>
                <c:pt idx="14">
                  <c:v>1960.1799999999996</c:v>
                </c:pt>
                <c:pt idx="15">
                  <c:v>2577.54</c:v>
                </c:pt>
                <c:pt idx="16">
                  <c:v>3425.57</c:v>
                </c:pt>
                <c:pt idx="17">
                  <c:v>2244.9299999999998</c:v>
                </c:pt>
                <c:pt idx="18">
                  <c:v>1705.47</c:v>
                </c:pt>
                <c:pt idx="19">
                  <c:v>1629.3700000000001</c:v>
                </c:pt>
                <c:pt idx="20">
                  <c:v>1109.9899999999998</c:v>
                </c:pt>
                <c:pt idx="21">
                  <c:v>530.26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'NAR-EDAD'!$B$55:$W$55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'NAR-EDAD'!$B$58:$W$58</c:f>
              <c:numCache>
                <c:formatCode>#,##0</c:formatCode>
                <c:ptCount val="22"/>
                <c:pt idx="0">
                  <c:v>9760.7400000000016</c:v>
                </c:pt>
                <c:pt idx="1">
                  <c:v>2388.66</c:v>
                </c:pt>
                <c:pt idx="2">
                  <c:v>553.43000000000006</c:v>
                </c:pt>
                <c:pt idx="3">
                  <c:v>445.33999999999992</c:v>
                </c:pt>
                <c:pt idx="4">
                  <c:v>396.46</c:v>
                </c:pt>
                <c:pt idx="5">
                  <c:v>424.09000000000009</c:v>
                </c:pt>
                <c:pt idx="6">
                  <c:v>855.99</c:v>
                </c:pt>
                <c:pt idx="7">
                  <c:v>202.19000000000003</c:v>
                </c:pt>
                <c:pt idx="8">
                  <c:v>295.96000000000004</c:v>
                </c:pt>
                <c:pt idx="9">
                  <c:v>310.56</c:v>
                </c:pt>
                <c:pt idx="10">
                  <c:v>300.73000000000008</c:v>
                </c:pt>
                <c:pt idx="11">
                  <c:v>1041.92</c:v>
                </c:pt>
                <c:pt idx="12">
                  <c:v>539.64</c:v>
                </c:pt>
                <c:pt idx="13">
                  <c:v>568.47</c:v>
                </c:pt>
                <c:pt idx="14">
                  <c:v>843.21999999999991</c:v>
                </c:pt>
                <c:pt idx="15">
                  <c:v>1205.07</c:v>
                </c:pt>
                <c:pt idx="16">
                  <c:v>1479.94</c:v>
                </c:pt>
                <c:pt idx="17">
                  <c:v>1131.56</c:v>
                </c:pt>
                <c:pt idx="18">
                  <c:v>1255.03</c:v>
                </c:pt>
                <c:pt idx="19">
                  <c:v>1418.9500000000003</c:v>
                </c:pt>
                <c:pt idx="20">
                  <c:v>1029.31</c:v>
                </c:pt>
                <c:pt idx="21">
                  <c:v>310.14000000000004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'NAR-EDAD'!$B$55:$W$55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'NAR-EDAD'!$B$59:$W$59</c:f>
              <c:numCache>
                <c:formatCode>#,##0</c:formatCode>
                <c:ptCount val="22"/>
                <c:pt idx="0">
                  <c:v>297.75000000000011</c:v>
                </c:pt>
                <c:pt idx="1">
                  <c:v>172.66</c:v>
                </c:pt>
                <c:pt idx="2">
                  <c:v>44.96</c:v>
                </c:pt>
                <c:pt idx="3">
                  <c:v>27.939999999999998</c:v>
                </c:pt>
                <c:pt idx="4">
                  <c:v>92.740000000000009</c:v>
                </c:pt>
                <c:pt idx="5">
                  <c:v>45.76</c:v>
                </c:pt>
                <c:pt idx="6">
                  <c:v>87.97999999999999</c:v>
                </c:pt>
                <c:pt idx="7">
                  <c:v>70.53</c:v>
                </c:pt>
                <c:pt idx="8">
                  <c:v>88.70999999999998</c:v>
                </c:pt>
                <c:pt idx="9">
                  <c:v>50.449999999999996</c:v>
                </c:pt>
                <c:pt idx="10">
                  <c:v>32.22</c:v>
                </c:pt>
                <c:pt idx="11">
                  <c:v>111.01</c:v>
                </c:pt>
                <c:pt idx="12">
                  <c:v>61.05</c:v>
                </c:pt>
                <c:pt idx="13">
                  <c:v>41.160000000000004</c:v>
                </c:pt>
                <c:pt idx="14">
                  <c:v>36.94</c:v>
                </c:pt>
                <c:pt idx="15">
                  <c:v>99.710000000000008</c:v>
                </c:pt>
                <c:pt idx="16">
                  <c:v>37.85</c:v>
                </c:pt>
                <c:pt idx="17">
                  <c:v>105.73</c:v>
                </c:pt>
                <c:pt idx="18">
                  <c:v>118.96</c:v>
                </c:pt>
                <c:pt idx="19">
                  <c:v>117.15</c:v>
                </c:pt>
                <c:pt idx="20">
                  <c:v>186.26000000000002</c:v>
                </c:pt>
                <c:pt idx="21">
                  <c:v>131.25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81520"/>
        <c:axId val="-34380976"/>
      </c:barChart>
      <c:catAx>
        <c:axId val="-343815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0976"/>
        <c:crosses val="autoZero"/>
        <c:auto val="1"/>
        <c:lblAlgn val="ctr"/>
        <c:lblOffset val="100"/>
        <c:noMultiLvlLbl val="0"/>
      </c:catAx>
      <c:valAx>
        <c:axId val="-34380976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1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'NAR-EDAD'!$A$60</c:f>
              <c:strCache>
                <c:ptCount val="1"/>
                <c:pt idx="0">
                  <c:v>TOTAL CITRICOS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'NAR-EDAD'!$B$55:$W$55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'NAR-EDAD'!$B$60:$W$60</c:f>
              <c:numCache>
                <c:formatCode>#,##0</c:formatCode>
                <c:ptCount val="22"/>
                <c:pt idx="0">
                  <c:v>78111.859999999957</c:v>
                </c:pt>
                <c:pt idx="1">
                  <c:v>19452.43</c:v>
                </c:pt>
                <c:pt idx="2">
                  <c:v>5414.37</c:v>
                </c:pt>
                <c:pt idx="3">
                  <c:v>6040.5199999999995</c:v>
                </c:pt>
                <c:pt idx="4">
                  <c:v>6020.869999999999</c:v>
                </c:pt>
                <c:pt idx="5">
                  <c:v>9052.4499999999989</c:v>
                </c:pt>
                <c:pt idx="6">
                  <c:v>10220.030000000001</c:v>
                </c:pt>
                <c:pt idx="7">
                  <c:v>6906.869999999999</c:v>
                </c:pt>
                <c:pt idx="8">
                  <c:v>5480.33</c:v>
                </c:pt>
                <c:pt idx="9">
                  <c:v>5043.96</c:v>
                </c:pt>
                <c:pt idx="10">
                  <c:v>4627.8600000000006</c:v>
                </c:pt>
                <c:pt idx="11">
                  <c:v>7575.13</c:v>
                </c:pt>
                <c:pt idx="12">
                  <c:v>3889.87</c:v>
                </c:pt>
                <c:pt idx="13">
                  <c:v>4394.8100000000004</c:v>
                </c:pt>
                <c:pt idx="14">
                  <c:v>4671.3799999999992</c:v>
                </c:pt>
                <c:pt idx="15">
                  <c:v>5581.4199999999992</c:v>
                </c:pt>
                <c:pt idx="16">
                  <c:v>6621.59</c:v>
                </c:pt>
                <c:pt idx="17">
                  <c:v>5239.9599999999991</c:v>
                </c:pt>
                <c:pt idx="18">
                  <c:v>5240.34</c:v>
                </c:pt>
                <c:pt idx="19">
                  <c:v>7108.6099999999988</c:v>
                </c:pt>
                <c:pt idx="20">
                  <c:v>5290.61</c:v>
                </c:pt>
                <c:pt idx="21">
                  <c:v>2252.88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9E-4D7B-AC78-D9A5AE5B8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92944"/>
        <c:axId val="-34374992"/>
      </c:barChart>
      <c:catAx>
        <c:axId val="-3439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4992"/>
        <c:crosses val="autoZero"/>
        <c:auto val="1"/>
        <c:lblAlgn val="ctr"/>
        <c:lblOffset val="100"/>
        <c:noMultiLvlLbl val="0"/>
      </c:catAx>
      <c:valAx>
        <c:axId val="-3437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'NAR-EDAD'!$C$56:$W$56</c:f>
              <c:numCache>
                <c:formatCode>#,##0</c:formatCode>
                <c:ptCount val="21"/>
                <c:pt idx="0">
                  <c:v>8742.52</c:v>
                </c:pt>
                <c:pt idx="1">
                  <c:v>2316.66</c:v>
                </c:pt>
                <c:pt idx="2">
                  <c:v>2691.26</c:v>
                </c:pt>
                <c:pt idx="3">
                  <c:v>2958.16</c:v>
                </c:pt>
                <c:pt idx="4">
                  <c:v>4726.3099999999995</c:v>
                </c:pt>
                <c:pt idx="5">
                  <c:v>6227.31</c:v>
                </c:pt>
                <c:pt idx="6">
                  <c:v>5242.33</c:v>
                </c:pt>
                <c:pt idx="7">
                  <c:v>3595.2400000000002</c:v>
                </c:pt>
                <c:pt idx="8">
                  <c:v>3190.05</c:v>
                </c:pt>
                <c:pt idx="9">
                  <c:v>2870.27</c:v>
                </c:pt>
                <c:pt idx="10">
                  <c:v>3821.48</c:v>
                </c:pt>
                <c:pt idx="11">
                  <c:v>1823.1599999999999</c:v>
                </c:pt>
                <c:pt idx="12">
                  <c:v>1780.2200000000003</c:v>
                </c:pt>
                <c:pt idx="13">
                  <c:v>1831.04</c:v>
                </c:pt>
                <c:pt idx="14">
                  <c:v>1699.1</c:v>
                </c:pt>
                <c:pt idx="15">
                  <c:v>1678.2299999999998</c:v>
                </c:pt>
                <c:pt idx="16">
                  <c:v>1757.7399999999998</c:v>
                </c:pt>
                <c:pt idx="17">
                  <c:v>2160.88</c:v>
                </c:pt>
                <c:pt idx="18">
                  <c:v>3943.1399999999994</c:v>
                </c:pt>
                <c:pt idx="19">
                  <c:v>2965.0499999999997</c:v>
                </c:pt>
                <c:pt idx="20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'NAR-EDAD'!$C$57:$W$57</c:f>
              <c:numCache>
                <c:formatCode>#,##0</c:formatCode>
                <c:ptCount val="21"/>
                <c:pt idx="0">
                  <c:v>8148.5899999999983</c:v>
                </c:pt>
                <c:pt idx="1">
                  <c:v>2499.3200000000002</c:v>
                </c:pt>
                <c:pt idx="2">
                  <c:v>2875.9799999999996</c:v>
                </c:pt>
                <c:pt idx="3">
                  <c:v>2573.5099999999993</c:v>
                </c:pt>
                <c:pt idx="4">
                  <c:v>3856.29</c:v>
                </c:pt>
                <c:pt idx="5">
                  <c:v>3048.75</c:v>
                </c:pt>
                <c:pt idx="6">
                  <c:v>1391.82</c:v>
                </c:pt>
                <c:pt idx="7">
                  <c:v>1500.42</c:v>
                </c:pt>
                <c:pt idx="8">
                  <c:v>1492.8999999999999</c:v>
                </c:pt>
                <c:pt idx="9">
                  <c:v>1424.6400000000003</c:v>
                </c:pt>
                <c:pt idx="10">
                  <c:v>2600.7199999999998</c:v>
                </c:pt>
                <c:pt idx="11">
                  <c:v>1466.02</c:v>
                </c:pt>
                <c:pt idx="12">
                  <c:v>2004.96</c:v>
                </c:pt>
                <c:pt idx="13">
                  <c:v>1960.1799999999996</c:v>
                </c:pt>
                <c:pt idx="14">
                  <c:v>2577.54</c:v>
                </c:pt>
                <c:pt idx="15">
                  <c:v>3425.57</c:v>
                </c:pt>
                <c:pt idx="16">
                  <c:v>2244.9299999999998</c:v>
                </c:pt>
                <c:pt idx="17">
                  <c:v>1705.47</c:v>
                </c:pt>
                <c:pt idx="18">
                  <c:v>1629.3700000000001</c:v>
                </c:pt>
                <c:pt idx="19">
                  <c:v>1109.9899999999998</c:v>
                </c:pt>
                <c:pt idx="20">
                  <c:v>530.26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'NAR-EDAD'!$C$58:$W$58</c:f>
              <c:numCache>
                <c:formatCode>#,##0</c:formatCode>
                <c:ptCount val="21"/>
                <c:pt idx="0">
                  <c:v>2388.66</c:v>
                </c:pt>
                <c:pt idx="1">
                  <c:v>553.43000000000006</c:v>
                </c:pt>
                <c:pt idx="2">
                  <c:v>445.33999999999992</c:v>
                </c:pt>
                <c:pt idx="3">
                  <c:v>396.46</c:v>
                </c:pt>
                <c:pt idx="4">
                  <c:v>424.09000000000009</c:v>
                </c:pt>
                <c:pt idx="5">
                  <c:v>855.99</c:v>
                </c:pt>
                <c:pt idx="6">
                  <c:v>202.19000000000003</c:v>
                </c:pt>
                <c:pt idx="7">
                  <c:v>295.96000000000004</c:v>
                </c:pt>
                <c:pt idx="8">
                  <c:v>310.56</c:v>
                </c:pt>
                <c:pt idx="9">
                  <c:v>300.73000000000008</c:v>
                </c:pt>
                <c:pt idx="10">
                  <c:v>1041.92</c:v>
                </c:pt>
                <c:pt idx="11">
                  <c:v>539.64</c:v>
                </c:pt>
                <c:pt idx="12">
                  <c:v>568.47</c:v>
                </c:pt>
                <c:pt idx="13">
                  <c:v>843.21999999999991</c:v>
                </c:pt>
                <c:pt idx="14">
                  <c:v>1205.07</c:v>
                </c:pt>
                <c:pt idx="15">
                  <c:v>1479.94</c:v>
                </c:pt>
                <c:pt idx="16">
                  <c:v>1131.56</c:v>
                </c:pt>
                <c:pt idx="17">
                  <c:v>1255.03</c:v>
                </c:pt>
                <c:pt idx="18">
                  <c:v>1418.9500000000003</c:v>
                </c:pt>
                <c:pt idx="19">
                  <c:v>1029.31</c:v>
                </c:pt>
                <c:pt idx="20">
                  <c:v>310.14000000000004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'NAR-EDAD'!$C$59:$W$59</c:f>
              <c:numCache>
                <c:formatCode>#,##0</c:formatCode>
                <c:ptCount val="21"/>
                <c:pt idx="0">
                  <c:v>172.66</c:v>
                </c:pt>
                <c:pt idx="1">
                  <c:v>44.96</c:v>
                </c:pt>
                <c:pt idx="2">
                  <c:v>27.939999999999998</c:v>
                </c:pt>
                <c:pt idx="3">
                  <c:v>92.740000000000009</c:v>
                </c:pt>
                <c:pt idx="4">
                  <c:v>45.76</c:v>
                </c:pt>
                <c:pt idx="5">
                  <c:v>87.97999999999999</c:v>
                </c:pt>
                <c:pt idx="6">
                  <c:v>70.53</c:v>
                </c:pt>
                <c:pt idx="7">
                  <c:v>88.70999999999998</c:v>
                </c:pt>
                <c:pt idx="8">
                  <c:v>50.449999999999996</c:v>
                </c:pt>
                <c:pt idx="9">
                  <c:v>32.22</c:v>
                </c:pt>
                <c:pt idx="10">
                  <c:v>111.01</c:v>
                </c:pt>
                <c:pt idx="11">
                  <c:v>61.05</c:v>
                </c:pt>
                <c:pt idx="12">
                  <c:v>41.160000000000004</c:v>
                </c:pt>
                <c:pt idx="13">
                  <c:v>36.94</c:v>
                </c:pt>
                <c:pt idx="14">
                  <c:v>99.710000000000008</c:v>
                </c:pt>
                <c:pt idx="15">
                  <c:v>37.85</c:v>
                </c:pt>
                <c:pt idx="16">
                  <c:v>105.73</c:v>
                </c:pt>
                <c:pt idx="17">
                  <c:v>118.96</c:v>
                </c:pt>
                <c:pt idx="18">
                  <c:v>117.15</c:v>
                </c:pt>
                <c:pt idx="19">
                  <c:v>186.26000000000002</c:v>
                </c:pt>
                <c:pt idx="20">
                  <c:v>131.25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72272"/>
        <c:axId val="-34383696"/>
      </c:barChart>
      <c:catAx>
        <c:axId val="-343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3696"/>
        <c:crosses val="autoZero"/>
        <c:auto val="1"/>
        <c:lblAlgn val="ctr"/>
        <c:lblOffset val="100"/>
        <c:noMultiLvlLbl val="0"/>
      </c:catAx>
      <c:valAx>
        <c:axId val="-34383696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'NAR-EDAD'!$B$55:$W$55</c15:sqref>
                  </c15:fullRef>
                </c:ext>
              </c:extLst>
              <c:f>'NAR-EDAD'!$C$55:$W$55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'NAR-EDAD'!$B$56:$W$56</c15:sqref>
                  </c15:fullRef>
                </c:ext>
              </c:extLst>
              <c:f>'NAR-EDAD'!$C$56:$W$56</c:f>
              <c:numCache>
                <c:formatCode>#,##0</c:formatCode>
                <c:ptCount val="21"/>
                <c:pt idx="0">
                  <c:v>8742.52</c:v>
                </c:pt>
                <c:pt idx="1">
                  <c:v>2316.66</c:v>
                </c:pt>
                <c:pt idx="2">
                  <c:v>2691.26</c:v>
                </c:pt>
                <c:pt idx="3">
                  <c:v>2958.16</c:v>
                </c:pt>
                <c:pt idx="4">
                  <c:v>4726.3099999999995</c:v>
                </c:pt>
                <c:pt idx="5">
                  <c:v>6227.31</c:v>
                </c:pt>
                <c:pt idx="6">
                  <c:v>5242.33</c:v>
                </c:pt>
                <c:pt idx="7">
                  <c:v>3595.2400000000002</c:v>
                </c:pt>
                <c:pt idx="8">
                  <c:v>3190.05</c:v>
                </c:pt>
                <c:pt idx="9">
                  <c:v>2870.27</c:v>
                </c:pt>
                <c:pt idx="10">
                  <c:v>3821.48</c:v>
                </c:pt>
                <c:pt idx="11">
                  <c:v>1823.1599999999999</c:v>
                </c:pt>
                <c:pt idx="12">
                  <c:v>1780.2200000000003</c:v>
                </c:pt>
                <c:pt idx="13">
                  <c:v>1831.04</c:v>
                </c:pt>
                <c:pt idx="14">
                  <c:v>1699.1</c:v>
                </c:pt>
                <c:pt idx="15">
                  <c:v>1678.2299999999998</c:v>
                </c:pt>
                <c:pt idx="16">
                  <c:v>1757.7399999999998</c:v>
                </c:pt>
                <c:pt idx="17">
                  <c:v>2160.88</c:v>
                </c:pt>
                <c:pt idx="18">
                  <c:v>3943.1399999999994</c:v>
                </c:pt>
                <c:pt idx="19">
                  <c:v>2965.0499999999997</c:v>
                </c:pt>
                <c:pt idx="20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79344"/>
        <c:axId val="-34398928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'NAR-EDAD'!$A$57</c15:sqref>
                        </c15:formulaRef>
                      </c:ext>
                    </c:extLst>
                    <c:strCache>
                      <c:ptCount val="1"/>
                      <c:pt idx="0">
                        <c:v>PEQUEÑOS CÍTRICOS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'NAR-EDAD'!$B$55:$W$55</c15:sqref>
                        </c15:fullRef>
                        <c15:formulaRef>
                          <c15:sqref>'NAR-EDAD'!$C$55:$W$55</c15:sqref>
                        </c15:formulaRef>
                      </c:ext>
                    </c:extLst>
                    <c:strCache>
                      <c:ptCount val="21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'NAR-EDAD'!$B$57:$W$57</c15:sqref>
                        </c15:fullRef>
                        <c15:formulaRef>
                          <c15:sqref>'NAR-EDAD'!$C$57:$W$57</c15:sqref>
                        </c15:formulaRef>
                      </c:ext>
                    </c:extLst>
                    <c:numCache>
                      <c:formatCode>#,##0</c:formatCode>
                      <c:ptCount val="21"/>
                      <c:pt idx="0">
                        <c:v>8148.5899999999983</c:v>
                      </c:pt>
                      <c:pt idx="1">
                        <c:v>2499.3200000000002</c:v>
                      </c:pt>
                      <c:pt idx="2">
                        <c:v>2875.9799999999996</c:v>
                      </c:pt>
                      <c:pt idx="3">
                        <c:v>2573.5099999999993</c:v>
                      </c:pt>
                      <c:pt idx="4">
                        <c:v>3856.29</c:v>
                      </c:pt>
                      <c:pt idx="5">
                        <c:v>3048.75</c:v>
                      </c:pt>
                      <c:pt idx="6">
                        <c:v>1391.82</c:v>
                      </c:pt>
                      <c:pt idx="7">
                        <c:v>1500.42</c:v>
                      </c:pt>
                      <c:pt idx="8">
                        <c:v>1492.8999999999999</c:v>
                      </c:pt>
                      <c:pt idx="9">
                        <c:v>1424.6400000000003</c:v>
                      </c:pt>
                      <c:pt idx="10">
                        <c:v>2600.7199999999998</c:v>
                      </c:pt>
                      <c:pt idx="11">
                        <c:v>1466.02</c:v>
                      </c:pt>
                      <c:pt idx="12">
                        <c:v>2004.96</c:v>
                      </c:pt>
                      <c:pt idx="13">
                        <c:v>1960.1799999999996</c:v>
                      </c:pt>
                      <c:pt idx="14">
                        <c:v>2577.54</c:v>
                      </c:pt>
                      <c:pt idx="15">
                        <c:v>3425.57</c:v>
                      </c:pt>
                      <c:pt idx="16">
                        <c:v>2244.9299999999998</c:v>
                      </c:pt>
                      <c:pt idx="17">
                        <c:v>1705.47</c:v>
                      </c:pt>
                      <c:pt idx="18">
                        <c:v>1629.3700000000001</c:v>
                      </c:pt>
                      <c:pt idx="19">
                        <c:v>1109.9899999999998</c:v>
                      </c:pt>
                      <c:pt idx="20">
                        <c:v>530.26</c:v>
                      </c:pt>
                    </c:numCache>
                  </c:numRef>
                </c:val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1-5C28-42AE-94C8-1A694089571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'NAR-EDAD'!$A$58</c15:sqref>
                        </c15:formulaRef>
                      </c:ext>
                    </c:extLst>
                    <c:strCache>
                      <c:ptCount val="1"/>
                      <c:pt idx="0">
                        <c:v>LIMONERO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'NAR-EDAD'!$B$55:$W$55</c15:sqref>
                        </c15:fullRef>
                        <c15:formulaRef>
                          <c15:sqref>'NAR-EDAD'!$C$55:$W$55</c15:sqref>
                        </c15:formulaRef>
                      </c:ext>
                    </c:extLst>
                    <c:strCache>
                      <c:ptCount val="21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'NAR-EDAD'!$B$58:$W$58</c15:sqref>
                        </c15:fullRef>
                        <c15:formulaRef>
                          <c15:sqref>'NAR-EDAD'!$C$58:$W$58</c15:sqref>
                        </c15:formulaRef>
                      </c:ext>
                    </c:extLst>
                    <c:numCache>
                      <c:formatCode>#,##0</c:formatCode>
                      <c:ptCount val="21"/>
                      <c:pt idx="0">
                        <c:v>2388.66</c:v>
                      </c:pt>
                      <c:pt idx="1">
                        <c:v>553.43000000000006</c:v>
                      </c:pt>
                      <c:pt idx="2">
                        <c:v>445.33999999999992</c:v>
                      </c:pt>
                      <c:pt idx="3">
                        <c:v>396.46</c:v>
                      </c:pt>
                      <c:pt idx="4">
                        <c:v>424.09000000000009</c:v>
                      </c:pt>
                      <c:pt idx="5">
                        <c:v>855.99</c:v>
                      </c:pt>
                      <c:pt idx="6">
                        <c:v>202.19000000000003</c:v>
                      </c:pt>
                      <c:pt idx="7">
                        <c:v>295.96000000000004</c:v>
                      </c:pt>
                      <c:pt idx="8">
                        <c:v>310.56</c:v>
                      </c:pt>
                      <c:pt idx="9">
                        <c:v>300.73000000000008</c:v>
                      </c:pt>
                      <c:pt idx="10">
                        <c:v>1041.92</c:v>
                      </c:pt>
                      <c:pt idx="11">
                        <c:v>539.64</c:v>
                      </c:pt>
                      <c:pt idx="12">
                        <c:v>568.47</c:v>
                      </c:pt>
                      <c:pt idx="13">
                        <c:v>843.21999999999991</c:v>
                      </c:pt>
                      <c:pt idx="14">
                        <c:v>1205.07</c:v>
                      </c:pt>
                      <c:pt idx="15">
                        <c:v>1479.94</c:v>
                      </c:pt>
                      <c:pt idx="16">
                        <c:v>1131.56</c:v>
                      </c:pt>
                      <c:pt idx="17">
                        <c:v>1255.03</c:v>
                      </c:pt>
                      <c:pt idx="18">
                        <c:v>1418.9500000000003</c:v>
                      </c:pt>
                      <c:pt idx="19">
                        <c:v>1029.31</c:v>
                      </c:pt>
                      <c:pt idx="20">
                        <c:v>310.14000000000004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2-5C28-42AE-94C8-1A6940895719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'NAR-EDAD'!$A$59</c15:sqref>
                        </c15:formulaRef>
                      </c:ext>
                    </c:extLst>
                    <c:strCache>
                      <c:ptCount val="1"/>
                      <c:pt idx="0">
                        <c:v>POMELO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'NAR-EDAD'!$B$55:$W$55</c15:sqref>
                        </c15:fullRef>
                        <c15:formulaRef>
                          <c15:sqref>'NAR-EDAD'!$C$55:$W$55</c15:sqref>
                        </c15:formulaRef>
                      </c:ext>
                    </c:extLst>
                    <c:strCache>
                      <c:ptCount val="21"/>
                      <c:pt idx="0">
                        <c:v>2.000</c:v>
                      </c:pt>
                      <c:pt idx="1">
                        <c:v>2.001</c:v>
                      </c:pt>
                      <c:pt idx="2">
                        <c:v>2.002</c:v>
                      </c:pt>
                      <c:pt idx="3">
                        <c:v>2.003</c:v>
                      </c:pt>
                      <c:pt idx="4">
                        <c:v>2.004</c:v>
                      </c:pt>
                      <c:pt idx="5">
                        <c:v>2.005</c:v>
                      </c:pt>
                      <c:pt idx="6">
                        <c:v>2.006</c:v>
                      </c:pt>
                      <c:pt idx="7">
                        <c:v>2.007</c:v>
                      </c:pt>
                      <c:pt idx="8">
                        <c:v>2.008</c:v>
                      </c:pt>
                      <c:pt idx="9">
                        <c:v>2.009</c:v>
                      </c:pt>
                      <c:pt idx="10">
                        <c:v>2.010</c:v>
                      </c:pt>
                      <c:pt idx="11">
                        <c:v>2.011</c:v>
                      </c:pt>
                      <c:pt idx="12">
                        <c:v>2.012</c:v>
                      </c:pt>
                      <c:pt idx="13">
                        <c:v>2.013</c:v>
                      </c:pt>
                      <c:pt idx="14">
                        <c:v>2.014</c:v>
                      </c:pt>
                      <c:pt idx="15">
                        <c:v>2.015</c:v>
                      </c:pt>
                      <c:pt idx="16">
                        <c:v>2.016</c:v>
                      </c:pt>
                      <c:pt idx="17">
                        <c:v>2.017</c:v>
                      </c:pt>
                      <c:pt idx="18">
                        <c:v>2.018</c:v>
                      </c:pt>
                      <c:pt idx="19">
                        <c:v>2.019</c:v>
                      </c:pt>
                      <c:pt idx="20">
                        <c:v>2.020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'NAR-EDAD'!$B$59:$W$59</c15:sqref>
                        </c15:fullRef>
                        <c15:formulaRef>
                          <c15:sqref>'NAR-EDAD'!$C$59:$W$59</c15:sqref>
                        </c15:formulaRef>
                      </c:ext>
                    </c:extLst>
                    <c:numCache>
                      <c:formatCode>#,##0</c:formatCode>
                      <c:ptCount val="21"/>
                      <c:pt idx="0">
                        <c:v>172.66</c:v>
                      </c:pt>
                      <c:pt idx="1">
                        <c:v>44.96</c:v>
                      </c:pt>
                      <c:pt idx="2">
                        <c:v>27.939999999999998</c:v>
                      </c:pt>
                      <c:pt idx="3">
                        <c:v>92.740000000000009</c:v>
                      </c:pt>
                      <c:pt idx="4">
                        <c:v>45.76</c:v>
                      </c:pt>
                      <c:pt idx="5">
                        <c:v>87.97999999999999</c:v>
                      </c:pt>
                      <c:pt idx="6">
                        <c:v>70.53</c:v>
                      </c:pt>
                      <c:pt idx="7">
                        <c:v>88.70999999999998</c:v>
                      </c:pt>
                      <c:pt idx="8">
                        <c:v>50.449999999999996</c:v>
                      </c:pt>
                      <c:pt idx="9">
                        <c:v>32.22</c:v>
                      </c:pt>
                      <c:pt idx="10">
                        <c:v>111.01</c:v>
                      </c:pt>
                      <c:pt idx="11">
                        <c:v>61.05</c:v>
                      </c:pt>
                      <c:pt idx="12">
                        <c:v>41.160000000000004</c:v>
                      </c:pt>
                      <c:pt idx="13">
                        <c:v>36.94</c:v>
                      </c:pt>
                      <c:pt idx="14">
                        <c:v>99.710000000000008</c:v>
                      </c:pt>
                      <c:pt idx="15">
                        <c:v>37.85</c:v>
                      </c:pt>
                      <c:pt idx="16">
                        <c:v>105.73</c:v>
                      </c:pt>
                      <c:pt idx="17">
                        <c:v>118.96</c:v>
                      </c:pt>
                      <c:pt idx="18">
                        <c:v>117.15</c:v>
                      </c:pt>
                      <c:pt idx="19">
                        <c:v>186.26000000000002</c:v>
                      </c:pt>
                      <c:pt idx="20">
                        <c:v>131.25</c:v>
                      </c:pt>
                    </c:numCache>
                  </c:numRef>
                </c:val>
                <c:extLst xmlns:c15="http://schemas.microsoft.com/office/drawing/2012/chart" xmlns:c16r2="http://schemas.microsoft.com/office/drawing/2015/06/chart">
                  <c:ext xmlns:c16="http://schemas.microsoft.com/office/drawing/2014/chart" uri="{C3380CC4-5D6E-409C-BE32-E72D297353CC}">
                    <c16:uniqueId val="{00000003-5C28-42AE-94C8-1A6940895719}"/>
                  </c:ext>
                </c:extLst>
              </c15:ser>
            </c15:filteredBarSeries>
          </c:ext>
        </c:extLst>
      </c:barChart>
      <c:catAx>
        <c:axId val="-34379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8928"/>
        <c:crosses val="autoZero"/>
        <c:auto val="1"/>
        <c:lblAlgn val="ctr"/>
        <c:lblOffset val="100"/>
        <c:noMultiLvlLbl val="0"/>
      </c:catAx>
      <c:valAx>
        <c:axId val="-34398928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Andalucía y C. Valenciana </a:t>
            </a:r>
          </a:p>
          <a:p>
            <a:pPr>
              <a:defRPr/>
            </a:pPr>
            <a:r>
              <a:rPr lang="en-US"/>
              <a:t>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'NAR-EDAD'!$A$42</c:f>
              <c:strCache>
                <c:ptCount val="1"/>
                <c:pt idx="0">
                  <c:v>ANDALUCIA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'NAR-EDAD'!$B$41:$W$41</c15:sqref>
                  </c15:fullRef>
                </c:ext>
              </c:extLst>
              <c:f>'NAR-EDAD'!$C$41:$W$41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'NAR-EDAD'!$B$42:$W$42</c15:sqref>
                  </c15:fullRef>
                </c:ext>
              </c:extLst>
              <c:f>'NAR-EDAD'!$C$42:$W$42</c:f>
              <c:numCache>
                <c:formatCode>0%</c:formatCode>
                <c:ptCount val="21"/>
                <c:pt idx="0">
                  <c:v>6.805528387149945E-2</c:v>
                </c:pt>
                <c:pt idx="1">
                  <c:v>2.0660852572701831E-2</c:v>
                </c:pt>
                <c:pt idx="2">
                  <c:v>2.638246914634498E-2</c:v>
                </c:pt>
                <c:pt idx="3">
                  <c:v>3.3039451172831115E-2</c:v>
                </c:pt>
                <c:pt idx="4">
                  <c:v>5.1859758731318761E-2</c:v>
                </c:pt>
                <c:pt idx="5">
                  <c:v>6.9821952888164257E-2</c:v>
                </c:pt>
                <c:pt idx="6">
                  <c:v>7.8589564220980596E-2</c:v>
                </c:pt>
                <c:pt idx="7">
                  <c:v>4.6299001184597649E-2</c:v>
                </c:pt>
                <c:pt idx="8">
                  <c:v>3.5097652351868208E-2</c:v>
                </c:pt>
                <c:pt idx="9">
                  <c:v>3.0392625110094107E-2</c:v>
                </c:pt>
                <c:pt idx="10">
                  <c:v>2.8289939459414371E-2</c:v>
                </c:pt>
                <c:pt idx="11">
                  <c:v>1.7620616963875235E-2</c:v>
                </c:pt>
                <c:pt idx="12">
                  <c:v>1.3689500373848295E-2</c:v>
                </c:pt>
                <c:pt idx="13">
                  <c:v>1.9849209556614931E-2</c:v>
                </c:pt>
                <c:pt idx="14">
                  <c:v>1.1988962290473672E-2</c:v>
                </c:pt>
                <c:pt idx="15">
                  <c:v>1.4513853238975943E-2</c:v>
                </c:pt>
                <c:pt idx="16">
                  <c:v>1.8852876546654584E-2</c:v>
                </c:pt>
                <c:pt idx="17">
                  <c:v>2.2675562237052586E-2</c:v>
                </c:pt>
                <c:pt idx="18">
                  <c:v>4.8002518138841203E-2</c:v>
                </c:pt>
                <c:pt idx="19">
                  <c:v>3.5924189722299729E-2</c:v>
                </c:pt>
                <c:pt idx="20">
                  <c:v>1.9730849087422911E-2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66-4143-9542-7AC16D769766}"/>
            </c:ext>
          </c:extLst>
        </c:ser>
        <c:ser>
          <c:idx val="1"/>
          <c:order val="1"/>
          <c:tx>
            <c:strRef>
              <c:f>'NAR-EDAD'!$A$44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'NAR-EDAD'!$B$41:$W$41</c15:sqref>
                  </c15:fullRef>
                </c:ext>
              </c:extLst>
              <c:f>'NAR-EDAD'!$C$41:$W$41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'NAR-EDAD'!$B$44:$W$44</c15:sqref>
                  </c15:fullRef>
                </c:ext>
              </c:extLst>
              <c:f>'NAR-EDAD'!$C$44:$W$44</c:f>
              <c:numCache>
                <c:formatCode>0%</c:formatCode>
                <c:ptCount val="21"/>
                <c:pt idx="0">
                  <c:v>9.6203490598276542E-2</c:v>
                </c:pt>
                <c:pt idx="1">
                  <c:v>2.0155549425438801E-2</c:v>
                </c:pt>
                <c:pt idx="2">
                  <c:v>2.2970508191254152E-2</c:v>
                </c:pt>
                <c:pt idx="3">
                  <c:v>2.0920327238441873E-2</c:v>
                </c:pt>
                <c:pt idx="4">
                  <c:v>3.7852075707856946E-2</c:v>
                </c:pt>
                <c:pt idx="5">
                  <c:v>4.2496737085239274E-2</c:v>
                </c:pt>
                <c:pt idx="6">
                  <c:v>1.9831110708536277E-2</c:v>
                </c:pt>
                <c:pt idx="7">
                  <c:v>1.9918807975922364E-2</c:v>
                </c:pt>
                <c:pt idx="8">
                  <c:v>2.3936825029541219E-2</c:v>
                </c:pt>
                <c:pt idx="9">
                  <c:v>2.4272586163594519E-2</c:v>
                </c:pt>
                <c:pt idx="10">
                  <c:v>4.0216196408941009E-2</c:v>
                </c:pt>
                <c:pt idx="11">
                  <c:v>1.5798477443686416E-2</c:v>
                </c:pt>
                <c:pt idx="12">
                  <c:v>1.8860264903388903E-2</c:v>
                </c:pt>
                <c:pt idx="13">
                  <c:v>1.5265706251209444E-2</c:v>
                </c:pt>
                <c:pt idx="14">
                  <c:v>1.7750050436221854E-2</c:v>
                </c:pt>
                <c:pt idx="15">
                  <c:v>1.5817210897517715E-2</c:v>
                </c:pt>
                <c:pt idx="16">
                  <c:v>1.2933494180277585E-2</c:v>
                </c:pt>
                <c:pt idx="17">
                  <c:v>1.7564156932818958E-2</c:v>
                </c:pt>
                <c:pt idx="18">
                  <c:v>2.7512650227889377E-2</c:v>
                </c:pt>
                <c:pt idx="19">
                  <c:v>1.9705534809227567E-2</c:v>
                </c:pt>
                <c:pt idx="20">
                  <c:v>5.4627574820591152E-3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66-4143-9542-7AC16D769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4383152"/>
        <c:axId val="-34374448"/>
      </c:lineChart>
      <c:catAx>
        <c:axId val="-3438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4448"/>
        <c:crosses val="autoZero"/>
        <c:auto val="1"/>
        <c:lblAlgn val="ctr"/>
        <c:lblOffset val="100"/>
        <c:noMultiLvlLbl val="0"/>
      </c:catAx>
      <c:valAx>
        <c:axId val="-3437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Variación de la superficie de cítricos por CCAA</a:t>
            </a:r>
          </a:p>
          <a:p>
            <a:pPr>
              <a:defRPr/>
            </a:pPr>
            <a:r>
              <a:rPr lang="es-ES"/>
              <a:t>2020 vs 2019 (ha)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Cítricos!$B$5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Cítricos!$I$5</c:f>
              <c:numCache>
                <c:formatCode>#,##0</c:formatCode>
                <c:ptCount val="1"/>
                <c:pt idx="0">
                  <c:v>1223.4200000000128</c:v>
                </c:pt>
              </c:numCache>
            </c:numRef>
          </c:val>
        </c:ser>
        <c:ser>
          <c:idx val="1"/>
          <c:order val="1"/>
          <c:tx>
            <c:strRef>
              <c:f>Cítricos!$B$16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Cítricos!$I$16</c:f>
              <c:numCache>
                <c:formatCode>#,##0</c:formatCode>
                <c:ptCount val="1"/>
                <c:pt idx="0">
                  <c:v>-195.54000000013912</c:v>
                </c:pt>
              </c:numCache>
            </c:numRef>
          </c:val>
        </c:ser>
        <c:ser>
          <c:idx val="2"/>
          <c:order val="2"/>
          <c:tx>
            <c:strRef>
              <c:f>Cítricos!$B$24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Cítricos!$I$24</c:f>
              <c:numCache>
                <c:formatCode>#,##0</c:formatCode>
                <c:ptCount val="1"/>
                <c:pt idx="0">
                  <c:v>-99.490000000000691</c:v>
                </c:pt>
              </c:numCache>
            </c:numRef>
          </c:val>
        </c:ser>
        <c:ser>
          <c:idx val="3"/>
          <c:order val="3"/>
          <c:tx>
            <c:strRef>
              <c:f>Cítricos!$B$37</c:f>
              <c:strCache>
                <c:ptCount val="1"/>
                <c:pt idx="0">
                  <c:v>I. BALEARES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Cítricos!$I$37</c:f>
              <c:numCache>
                <c:formatCode>#,##0</c:formatCode>
                <c:ptCount val="1"/>
                <c:pt idx="0">
                  <c:v>-23.630000000000109</c:v>
                </c:pt>
              </c:numCache>
            </c:numRef>
          </c:val>
        </c:ser>
        <c:ser>
          <c:idx val="4"/>
          <c:order val="4"/>
          <c:tx>
            <c:strRef>
              <c:f>Cítricos!$B$42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(Cítricos!$B$5,Cítricos!$B$16,Cítricos!$B$24,Cítricos!$B$37,Cítricos!$B$42)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f>Cítricos!$I$42</c:f>
              <c:numCache>
                <c:formatCode>#,##0</c:formatCode>
                <c:ptCount val="1"/>
                <c:pt idx="0">
                  <c:v>-182.22999999999593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516334048"/>
        <c:axId val="-515673568"/>
      </c:barChart>
      <c:catAx>
        <c:axId val="-516334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515673568"/>
        <c:crosses val="autoZero"/>
        <c:auto val="1"/>
        <c:lblAlgn val="ctr"/>
        <c:lblOffset val="100"/>
        <c:noMultiLvlLbl val="0"/>
      </c:catAx>
      <c:valAx>
        <c:axId val="-515673568"/>
        <c:scaling>
          <c:orientation val="minMax"/>
          <c:max val="1300"/>
          <c:min val="-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51633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Naranjo: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'NAR-EDAD'!$A$37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'NAR-EDAD'!$B$37:$W$37</c15:sqref>
                  </c15:fullRef>
                </c:ext>
              </c:extLst>
              <c:f>'NAR-EDAD'!$C$37:$W$37</c:f>
              <c:numCache>
                <c:formatCode>#,##0</c:formatCode>
                <c:ptCount val="21"/>
                <c:pt idx="0">
                  <c:v>8742.52</c:v>
                </c:pt>
                <c:pt idx="1">
                  <c:v>2316.66</c:v>
                </c:pt>
                <c:pt idx="2">
                  <c:v>2691.26</c:v>
                </c:pt>
                <c:pt idx="3">
                  <c:v>2958.16</c:v>
                </c:pt>
                <c:pt idx="4">
                  <c:v>4726.3099999999995</c:v>
                </c:pt>
                <c:pt idx="5">
                  <c:v>6227.31</c:v>
                </c:pt>
                <c:pt idx="6">
                  <c:v>5242.33</c:v>
                </c:pt>
                <c:pt idx="7">
                  <c:v>3595.2400000000002</c:v>
                </c:pt>
                <c:pt idx="8">
                  <c:v>3190.05</c:v>
                </c:pt>
                <c:pt idx="9">
                  <c:v>2870.27</c:v>
                </c:pt>
                <c:pt idx="10">
                  <c:v>3821.48</c:v>
                </c:pt>
                <c:pt idx="11">
                  <c:v>1823.1599999999999</c:v>
                </c:pt>
                <c:pt idx="12">
                  <c:v>1780.2200000000003</c:v>
                </c:pt>
                <c:pt idx="13">
                  <c:v>1831.04</c:v>
                </c:pt>
                <c:pt idx="14">
                  <c:v>1699.1</c:v>
                </c:pt>
                <c:pt idx="15">
                  <c:v>1678.2299999999998</c:v>
                </c:pt>
                <c:pt idx="16">
                  <c:v>1757.7399999999998</c:v>
                </c:pt>
                <c:pt idx="17">
                  <c:v>2160.88</c:v>
                </c:pt>
                <c:pt idx="18">
                  <c:v>3943.1399999999994</c:v>
                </c:pt>
                <c:pt idx="19">
                  <c:v>2965.0499999999997</c:v>
                </c:pt>
                <c:pt idx="20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1C-4300-B350-24E9A8116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93488"/>
        <c:axId val="-34380432"/>
      </c:barChart>
      <c:catAx>
        <c:axId val="-3439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0432"/>
        <c:crosses val="autoZero"/>
        <c:auto val="1"/>
        <c:lblAlgn val="ctr"/>
        <c:lblOffset val="100"/>
        <c:noMultiLvlLbl val="0"/>
      </c:catAx>
      <c:valAx>
        <c:axId val="-34380432"/>
        <c:scaling>
          <c:orientation val="minMax"/>
          <c:max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'NAR-EDAD'!$B$4:$W$4</c15:sqref>
                  </c15:fullRef>
                </c:ext>
              </c:extLst>
              <c:f>'NAR-EDAD'!$C$4:$W$4</c:f>
              <c:numCache>
                <c:formatCode>#,##0</c:formatCode>
                <c:ptCount val="21"/>
                <c:pt idx="0">
                  <c:v>3426.8999999999996</c:v>
                </c:pt>
                <c:pt idx="1">
                  <c:v>1040.3700000000001</c:v>
                </c:pt>
                <c:pt idx="2">
                  <c:v>1328.48</c:v>
                </c:pt>
                <c:pt idx="3">
                  <c:v>1663.69</c:v>
                </c:pt>
                <c:pt idx="4">
                  <c:v>2611.38</c:v>
                </c:pt>
                <c:pt idx="5">
                  <c:v>3515.8599999999997</c:v>
                </c:pt>
                <c:pt idx="6">
                  <c:v>3957.35</c:v>
                </c:pt>
                <c:pt idx="7">
                  <c:v>2331.37</c:v>
                </c:pt>
                <c:pt idx="8">
                  <c:v>1767.3300000000002</c:v>
                </c:pt>
                <c:pt idx="9">
                  <c:v>1530.41</c:v>
                </c:pt>
                <c:pt idx="10">
                  <c:v>1424.5299999999997</c:v>
                </c:pt>
                <c:pt idx="11">
                  <c:v>887.28</c:v>
                </c:pt>
                <c:pt idx="12">
                  <c:v>689.32999999999993</c:v>
                </c:pt>
                <c:pt idx="13">
                  <c:v>999.49999999999989</c:v>
                </c:pt>
                <c:pt idx="14">
                  <c:v>603.70000000000005</c:v>
                </c:pt>
                <c:pt idx="15">
                  <c:v>730.83999999999992</c:v>
                </c:pt>
                <c:pt idx="16">
                  <c:v>949.33</c:v>
                </c:pt>
                <c:pt idx="17">
                  <c:v>1141.82</c:v>
                </c:pt>
                <c:pt idx="18">
                  <c:v>2417.15</c:v>
                </c:pt>
                <c:pt idx="19">
                  <c:v>1808.9499999999998</c:v>
                </c:pt>
                <c:pt idx="20">
                  <c:v>993.54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'NAR-EDAD'!$A$15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'NAR-EDAD'!$B$15:$W$15</c15:sqref>
                  </c15:fullRef>
                </c:ext>
              </c:extLst>
              <c:f>'NAR-EDAD'!$C$15:$W$15</c:f>
              <c:numCache>
                <c:formatCode>#,##0</c:formatCode>
                <c:ptCount val="21"/>
                <c:pt idx="0">
                  <c:v>4673.2000000000007</c:v>
                </c:pt>
                <c:pt idx="1">
                  <c:v>979.08000000000015</c:v>
                </c:pt>
                <c:pt idx="2">
                  <c:v>1115.82</c:v>
                </c:pt>
                <c:pt idx="3">
                  <c:v>1016.23</c:v>
                </c:pt>
                <c:pt idx="4">
                  <c:v>1838.7100000000005</c:v>
                </c:pt>
                <c:pt idx="5">
                  <c:v>2064.33</c:v>
                </c:pt>
                <c:pt idx="6">
                  <c:v>963.31999999999994</c:v>
                </c:pt>
                <c:pt idx="7">
                  <c:v>967.57999999999993</c:v>
                </c:pt>
                <c:pt idx="8">
                  <c:v>1162.76</c:v>
                </c:pt>
                <c:pt idx="9">
                  <c:v>1179.07</c:v>
                </c:pt>
                <c:pt idx="10">
                  <c:v>1953.5500000000002</c:v>
                </c:pt>
                <c:pt idx="11">
                  <c:v>767.43000000000006</c:v>
                </c:pt>
                <c:pt idx="12">
                  <c:v>916.16</c:v>
                </c:pt>
                <c:pt idx="13">
                  <c:v>741.55000000000018</c:v>
                </c:pt>
                <c:pt idx="14">
                  <c:v>862.23</c:v>
                </c:pt>
                <c:pt idx="15">
                  <c:v>768.34</c:v>
                </c:pt>
                <c:pt idx="16">
                  <c:v>628.26</c:v>
                </c:pt>
                <c:pt idx="17">
                  <c:v>853.20000000000016</c:v>
                </c:pt>
                <c:pt idx="18">
                  <c:v>1336.4599999999998</c:v>
                </c:pt>
                <c:pt idx="19">
                  <c:v>957.22</c:v>
                </c:pt>
                <c:pt idx="20">
                  <c:v>265.35999999999996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4373904"/>
        <c:axId val="-34373360"/>
      </c:barChart>
      <c:lineChart>
        <c:grouping val="standard"/>
        <c:varyColors val="0"/>
        <c:ser>
          <c:idx val="2"/>
          <c:order val="2"/>
          <c:tx>
            <c:v>% C. VALENCIANA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'NAR-EDAD'!$B$44:$W$44</c15:sqref>
                  </c15:fullRef>
                </c:ext>
              </c:extLst>
              <c:f>'NAR-EDAD'!$C$44:$W$44</c:f>
              <c:numCache>
                <c:formatCode>0%</c:formatCode>
                <c:ptCount val="21"/>
                <c:pt idx="0">
                  <c:v>9.6203490598276542E-2</c:v>
                </c:pt>
                <c:pt idx="1">
                  <c:v>2.0155549425438801E-2</c:v>
                </c:pt>
                <c:pt idx="2">
                  <c:v>2.2970508191254152E-2</c:v>
                </c:pt>
                <c:pt idx="3">
                  <c:v>2.0920327238441873E-2</c:v>
                </c:pt>
                <c:pt idx="4">
                  <c:v>3.7852075707856946E-2</c:v>
                </c:pt>
                <c:pt idx="5">
                  <c:v>4.2496737085239274E-2</c:v>
                </c:pt>
                <c:pt idx="6">
                  <c:v>1.9831110708536277E-2</c:v>
                </c:pt>
                <c:pt idx="7">
                  <c:v>1.9918807975922364E-2</c:v>
                </c:pt>
                <c:pt idx="8">
                  <c:v>2.3936825029541219E-2</c:v>
                </c:pt>
                <c:pt idx="9">
                  <c:v>2.4272586163594519E-2</c:v>
                </c:pt>
                <c:pt idx="10">
                  <c:v>4.0216196408941009E-2</c:v>
                </c:pt>
                <c:pt idx="11">
                  <c:v>1.5798477443686416E-2</c:v>
                </c:pt>
                <c:pt idx="12">
                  <c:v>1.8860264903388903E-2</c:v>
                </c:pt>
                <c:pt idx="13">
                  <c:v>1.5265706251209444E-2</c:v>
                </c:pt>
                <c:pt idx="14">
                  <c:v>1.7750050436221854E-2</c:v>
                </c:pt>
                <c:pt idx="15">
                  <c:v>1.5817210897517715E-2</c:v>
                </c:pt>
                <c:pt idx="16">
                  <c:v>1.2933494180277585E-2</c:v>
                </c:pt>
                <c:pt idx="17">
                  <c:v>1.7564156932818958E-2</c:v>
                </c:pt>
                <c:pt idx="18">
                  <c:v>2.7512650227889377E-2</c:v>
                </c:pt>
                <c:pt idx="19">
                  <c:v>1.9705534809227567E-2</c:v>
                </c:pt>
                <c:pt idx="20">
                  <c:v>5.4627574820591152E-3</c:v>
                </c:pt>
              </c:numCache>
            </c:numRef>
          </c:val>
          <c:smooth val="0"/>
        </c:ser>
        <c:ser>
          <c:idx val="3"/>
          <c:order val="3"/>
          <c:tx>
            <c:v>% ANDALUCÍA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'NAR-EDAD'!$B$42:$W$42</c15:sqref>
                  </c15:fullRef>
                </c:ext>
              </c:extLst>
              <c:f>'NAR-EDAD'!$C$42:$W$42</c:f>
              <c:numCache>
                <c:formatCode>0%</c:formatCode>
                <c:ptCount val="21"/>
                <c:pt idx="0">
                  <c:v>6.805528387149945E-2</c:v>
                </c:pt>
                <c:pt idx="1">
                  <c:v>2.0660852572701831E-2</c:v>
                </c:pt>
                <c:pt idx="2">
                  <c:v>2.638246914634498E-2</c:v>
                </c:pt>
                <c:pt idx="3">
                  <c:v>3.3039451172831115E-2</c:v>
                </c:pt>
                <c:pt idx="4">
                  <c:v>5.1859758731318761E-2</c:v>
                </c:pt>
                <c:pt idx="5">
                  <c:v>6.9821952888164257E-2</c:v>
                </c:pt>
                <c:pt idx="6">
                  <c:v>7.8589564220980596E-2</c:v>
                </c:pt>
                <c:pt idx="7">
                  <c:v>4.6299001184597649E-2</c:v>
                </c:pt>
                <c:pt idx="8">
                  <c:v>3.5097652351868208E-2</c:v>
                </c:pt>
                <c:pt idx="9">
                  <c:v>3.0392625110094107E-2</c:v>
                </c:pt>
                <c:pt idx="10">
                  <c:v>2.8289939459414371E-2</c:v>
                </c:pt>
                <c:pt idx="11">
                  <c:v>1.7620616963875235E-2</c:v>
                </c:pt>
                <c:pt idx="12">
                  <c:v>1.3689500373848295E-2</c:v>
                </c:pt>
                <c:pt idx="13">
                  <c:v>1.9849209556614931E-2</c:v>
                </c:pt>
                <c:pt idx="14">
                  <c:v>1.1988962290473672E-2</c:v>
                </c:pt>
                <c:pt idx="15">
                  <c:v>1.4513853238975943E-2</c:v>
                </c:pt>
                <c:pt idx="16">
                  <c:v>1.8852876546654584E-2</c:v>
                </c:pt>
                <c:pt idx="17">
                  <c:v>2.2675562237052586E-2</c:v>
                </c:pt>
                <c:pt idx="18">
                  <c:v>4.8002518138841203E-2</c:v>
                </c:pt>
                <c:pt idx="19">
                  <c:v>3.5924189722299729E-2</c:v>
                </c:pt>
                <c:pt idx="20">
                  <c:v>1.9730849087422911E-2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4371184"/>
        <c:axId val="-34371728"/>
      </c:lineChart>
      <c:catAx>
        <c:axId val="-34373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3360"/>
        <c:crosses val="autoZero"/>
        <c:auto val="1"/>
        <c:lblAlgn val="ctr"/>
        <c:lblOffset val="100"/>
        <c:noMultiLvlLbl val="0"/>
      </c:catAx>
      <c:valAx>
        <c:axId val="-3437336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3904"/>
        <c:crosses val="autoZero"/>
        <c:crossBetween val="between"/>
      </c:valAx>
      <c:valAx>
        <c:axId val="-3437172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1184"/>
        <c:crosses val="max"/>
        <c:crossBetween val="between"/>
      </c:valAx>
      <c:catAx>
        <c:axId val="-34371184"/>
        <c:scaling>
          <c:orientation val="minMax"/>
        </c:scaling>
        <c:delete val="1"/>
        <c:axPos val="b"/>
        <c:majorTickMark val="out"/>
        <c:minorTickMark val="none"/>
        <c:tickLblPos val="nextTo"/>
        <c:crossAx val="-343717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'NAR-EDAD'!$A$56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'NAR-EDAD'!$C$56:$W$56</c:f>
              <c:numCache>
                <c:formatCode>#,##0</c:formatCode>
                <c:ptCount val="21"/>
                <c:pt idx="0">
                  <c:v>8742.52</c:v>
                </c:pt>
                <c:pt idx="1">
                  <c:v>2316.66</c:v>
                </c:pt>
                <c:pt idx="2">
                  <c:v>2691.26</c:v>
                </c:pt>
                <c:pt idx="3">
                  <c:v>2958.16</c:v>
                </c:pt>
                <c:pt idx="4">
                  <c:v>4726.3099999999995</c:v>
                </c:pt>
                <c:pt idx="5">
                  <c:v>6227.31</c:v>
                </c:pt>
                <c:pt idx="6">
                  <c:v>5242.33</c:v>
                </c:pt>
                <c:pt idx="7">
                  <c:v>3595.2400000000002</c:v>
                </c:pt>
                <c:pt idx="8">
                  <c:v>3190.05</c:v>
                </c:pt>
                <c:pt idx="9">
                  <c:v>2870.27</c:v>
                </c:pt>
                <c:pt idx="10">
                  <c:v>3821.48</c:v>
                </c:pt>
                <c:pt idx="11">
                  <c:v>1823.1599999999999</c:v>
                </c:pt>
                <c:pt idx="12">
                  <c:v>1780.2200000000003</c:v>
                </c:pt>
                <c:pt idx="13">
                  <c:v>1831.04</c:v>
                </c:pt>
                <c:pt idx="14">
                  <c:v>1699.1</c:v>
                </c:pt>
                <c:pt idx="15">
                  <c:v>1678.2299999999998</c:v>
                </c:pt>
                <c:pt idx="16">
                  <c:v>1757.7399999999998</c:v>
                </c:pt>
                <c:pt idx="17">
                  <c:v>2160.88</c:v>
                </c:pt>
                <c:pt idx="18">
                  <c:v>3943.1399999999994</c:v>
                </c:pt>
                <c:pt idx="19">
                  <c:v>2965.0499999999997</c:v>
                </c:pt>
                <c:pt idx="20">
                  <c:v>1281.2300000000002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28-42AE-94C8-1A6940895719}"/>
            </c:ext>
          </c:extLst>
        </c:ser>
        <c:ser>
          <c:idx val="1"/>
          <c:order val="1"/>
          <c:tx>
            <c:strRef>
              <c:f>'NAR-EDAD'!$A$57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'NAR-EDAD'!$C$57:$W$57</c:f>
              <c:numCache>
                <c:formatCode>#,##0</c:formatCode>
                <c:ptCount val="21"/>
                <c:pt idx="0">
                  <c:v>8148.5899999999983</c:v>
                </c:pt>
                <c:pt idx="1">
                  <c:v>2499.3200000000002</c:v>
                </c:pt>
                <c:pt idx="2">
                  <c:v>2875.9799999999996</c:v>
                </c:pt>
                <c:pt idx="3">
                  <c:v>2573.5099999999993</c:v>
                </c:pt>
                <c:pt idx="4">
                  <c:v>3856.29</c:v>
                </c:pt>
                <c:pt idx="5">
                  <c:v>3048.75</c:v>
                </c:pt>
                <c:pt idx="6">
                  <c:v>1391.82</c:v>
                </c:pt>
                <c:pt idx="7">
                  <c:v>1500.42</c:v>
                </c:pt>
                <c:pt idx="8">
                  <c:v>1492.8999999999999</c:v>
                </c:pt>
                <c:pt idx="9">
                  <c:v>1424.6400000000003</c:v>
                </c:pt>
                <c:pt idx="10">
                  <c:v>2600.7199999999998</c:v>
                </c:pt>
                <c:pt idx="11">
                  <c:v>1466.02</c:v>
                </c:pt>
                <c:pt idx="12">
                  <c:v>2004.96</c:v>
                </c:pt>
                <c:pt idx="13">
                  <c:v>1960.1799999999996</c:v>
                </c:pt>
                <c:pt idx="14">
                  <c:v>2577.54</c:v>
                </c:pt>
                <c:pt idx="15">
                  <c:v>3425.57</c:v>
                </c:pt>
                <c:pt idx="16">
                  <c:v>2244.9299999999998</c:v>
                </c:pt>
                <c:pt idx="17">
                  <c:v>1705.47</c:v>
                </c:pt>
                <c:pt idx="18">
                  <c:v>1629.3700000000001</c:v>
                </c:pt>
                <c:pt idx="19">
                  <c:v>1109.9899999999998</c:v>
                </c:pt>
                <c:pt idx="20">
                  <c:v>530.26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28-42AE-94C8-1A6940895719}"/>
            </c:ext>
          </c:extLst>
        </c:ser>
        <c:ser>
          <c:idx val="2"/>
          <c:order val="2"/>
          <c:tx>
            <c:strRef>
              <c:f>'NAR-EDAD'!$A$58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'NAR-EDAD'!$C$58:$W$58</c:f>
              <c:numCache>
                <c:formatCode>#,##0</c:formatCode>
                <c:ptCount val="21"/>
                <c:pt idx="0">
                  <c:v>2388.66</c:v>
                </c:pt>
                <c:pt idx="1">
                  <c:v>553.43000000000006</c:v>
                </c:pt>
                <c:pt idx="2">
                  <c:v>445.33999999999992</c:v>
                </c:pt>
                <c:pt idx="3">
                  <c:v>396.46</c:v>
                </c:pt>
                <c:pt idx="4">
                  <c:v>424.09000000000009</c:v>
                </c:pt>
                <c:pt idx="5">
                  <c:v>855.99</c:v>
                </c:pt>
                <c:pt idx="6">
                  <c:v>202.19000000000003</c:v>
                </c:pt>
                <c:pt idx="7">
                  <c:v>295.96000000000004</c:v>
                </c:pt>
                <c:pt idx="8">
                  <c:v>310.56</c:v>
                </c:pt>
                <c:pt idx="9">
                  <c:v>300.73000000000008</c:v>
                </c:pt>
                <c:pt idx="10">
                  <c:v>1041.92</c:v>
                </c:pt>
                <c:pt idx="11">
                  <c:v>539.64</c:v>
                </c:pt>
                <c:pt idx="12">
                  <c:v>568.47</c:v>
                </c:pt>
                <c:pt idx="13">
                  <c:v>843.21999999999991</c:v>
                </c:pt>
                <c:pt idx="14">
                  <c:v>1205.07</c:v>
                </c:pt>
                <c:pt idx="15">
                  <c:v>1479.94</c:v>
                </c:pt>
                <c:pt idx="16">
                  <c:v>1131.56</c:v>
                </c:pt>
                <c:pt idx="17">
                  <c:v>1255.03</c:v>
                </c:pt>
                <c:pt idx="18">
                  <c:v>1418.9500000000003</c:v>
                </c:pt>
                <c:pt idx="19">
                  <c:v>1029.31</c:v>
                </c:pt>
                <c:pt idx="20">
                  <c:v>310.14000000000004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C28-42AE-94C8-1A6940895719}"/>
            </c:ext>
          </c:extLst>
        </c:ser>
        <c:ser>
          <c:idx val="3"/>
          <c:order val="3"/>
          <c:tx>
            <c:strRef>
              <c:f>'NAR-EDAD'!$A$59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'NAR-EDAD'!$C$55:$W$55</c:f>
              <c:numCache>
                <c:formatCode>#,##0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'NAR-EDAD'!$C$59:$W$59</c:f>
              <c:numCache>
                <c:formatCode>#,##0</c:formatCode>
                <c:ptCount val="21"/>
                <c:pt idx="0">
                  <c:v>172.66</c:v>
                </c:pt>
                <c:pt idx="1">
                  <c:v>44.96</c:v>
                </c:pt>
                <c:pt idx="2">
                  <c:v>27.939999999999998</c:v>
                </c:pt>
                <c:pt idx="3">
                  <c:v>92.740000000000009</c:v>
                </c:pt>
                <c:pt idx="4">
                  <c:v>45.76</c:v>
                </c:pt>
                <c:pt idx="5">
                  <c:v>87.97999999999999</c:v>
                </c:pt>
                <c:pt idx="6">
                  <c:v>70.53</c:v>
                </c:pt>
                <c:pt idx="7">
                  <c:v>88.70999999999998</c:v>
                </c:pt>
                <c:pt idx="8">
                  <c:v>50.449999999999996</c:v>
                </c:pt>
                <c:pt idx="9">
                  <c:v>32.22</c:v>
                </c:pt>
                <c:pt idx="10">
                  <c:v>111.01</c:v>
                </c:pt>
                <c:pt idx="11">
                  <c:v>61.05</c:v>
                </c:pt>
                <c:pt idx="12">
                  <c:v>41.160000000000004</c:v>
                </c:pt>
                <c:pt idx="13">
                  <c:v>36.94</c:v>
                </c:pt>
                <c:pt idx="14">
                  <c:v>99.710000000000008</c:v>
                </c:pt>
                <c:pt idx="15">
                  <c:v>37.85</c:v>
                </c:pt>
                <c:pt idx="16">
                  <c:v>105.73</c:v>
                </c:pt>
                <c:pt idx="17">
                  <c:v>118.96</c:v>
                </c:pt>
                <c:pt idx="18">
                  <c:v>117.15</c:v>
                </c:pt>
                <c:pt idx="19">
                  <c:v>186.26000000000002</c:v>
                </c:pt>
                <c:pt idx="20">
                  <c:v>131.25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C28-42AE-94C8-1A6940895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7904"/>
        <c:axId val="-30069744"/>
      </c:barChart>
      <c:lineChart>
        <c:grouping val="standard"/>
        <c:varyColors val="0"/>
        <c:ser>
          <c:idx val="4"/>
          <c:order val="4"/>
          <c:tx>
            <c:v>% NARANJO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'NAR-EDAD'!$B$61:$W$61</c:f>
              <c:numCache>
                <c:formatCode>0%</c:formatCode>
                <c:ptCount val="22"/>
                <c:pt idx="0">
                  <c:v>0.36927894786264887</c:v>
                </c:pt>
                <c:pt idx="1">
                  <c:v>8.1931327600293397E-2</c:v>
                </c:pt>
                <c:pt idx="2">
                  <c:v>2.1710791556495801E-2</c:v>
                </c:pt>
                <c:pt idx="3">
                  <c:v>2.522138979579865E-2</c:v>
                </c:pt>
                <c:pt idx="4">
                  <c:v>2.7722667612322748E-2</c:v>
                </c:pt>
                <c:pt idx="5">
                  <c:v>4.4293047422315601E-2</c:v>
                </c:pt>
                <c:pt idx="6">
                  <c:v>5.8359806517867048E-2</c:v>
                </c:pt>
                <c:pt idx="7">
                  <c:v>4.9128976155484463E-2</c:v>
                </c:pt>
                <c:pt idx="8">
                  <c:v>3.3693121232971593E-2</c:v>
                </c:pt>
                <c:pt idx="9">
                  <c:v>2.9895846004506243E-2</c:v>
                </c:pt>
                <c:pt idx="10">
                  <c:v>2.6898998420511945E-2</c:v>
                </c:pt>
                <c:pt idx="11">
                  <c:v>3.5813350132223795E-2</c:v>
                </c:pt>
                <c:pt idx="12">
                  <c:v>1.7085911067718562E-2</c:v>
                </c:pt>
                <c:pt idx="13">
                  <c:v>1.6683494921440764E-2</c:v>
                </c:pt>
                <c:pt idx="14">
                  <c:v>1.715975921007229E-2</c:v>
                </c:pt>
                <c:pt idx="15">
                  <c:v>1.5923271405230813E-2</c:v>
                </c:pt>
                <c:pt idx="16">
                  <c:v>1.5727686287093465E-2</c:v>
                </c:pt>
                <c:pt idx="17">
                  <c:v>1.6472821540715912E-2</c:v>
                </c:pt>
                <c:pt idx="18">
                  <c:v>2.0250885006259291E-2</c:v>
                </c:pt>
                <c:pt idx="19">
                  <c:v>3.6953497974705325E-2</c:v>
                </c:pt>
                <c:pt idx="20">
                  <c:v>2.7787237878923912E-2</c:v>
                </c:pt>
                <c:pt idx="21">
                  <c:v>1.2007164394399316E-2</c:v>
                </c:pt>
              </c:numCache>
            </c:numRef>
          </c:val>
          <c:smooth val="0"/>
        </c:ser>
        <c:ser>
          <c:idx val="5"/>
          <c:order val="5"/>
          <c:tx>
            <c:v>% PEQ CÍTRICOS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'NAR-EDAD'!$B$62:$W$62</c:f>
              <c:numCache>
                <c:formatCode>0%</c:formatCode>
                <c:ptCount val="22"/>
                <c:pt idx="0">
                  <c:v>0.36395524090749937</c:v>
                </c:pt>
                <c:pt idx="1">
                  <c:v>0.10351816874018312</c:v>
                </c:pt>
                <c:pt idx="2">
                  <c:v>3.175089549182307E-2</c:v>
                </c:pt>
                <c:pt idx="3">
                  <c:v>3.6535913935219697E-2</c:v>
                </c:pt>
                <c:pt idx="4">
                  <c:v>3.2693391425332313E-2</c:v>
                </c:pt>
                <c:pt idx="5">
                  <c:v>4.8989589478803185E-2</c:v>
                </c:pt>
                <c:pt idx="6">
                  <c:v>3.8730751816772394E-2</c:v>
                </c:pt>
                <c:pt idx="7">
                  <c:v>1.768142189212633E-2</c:v>
                </c:pt>
                <c:pt idx="8">
                  <c:v>1.9061056052782823E-2</c:v>
                </c:pt>
                <c:pt idx="9">
                  <c:v>1.8965523374254858E-2</c:v>
                </c:pt>
                <c:pt idx="10">
                  <c:v>1.8098361055595452E-2</c:v>
                </c:pt>
                <c:pt idx="11">
                  <c:v>3.3039062194314489E-2</c:v>
                </c:pt>
                <c:pt idx="12">
                  <c:v>1.8624044863771928E-2</c:v>
                </c:pt>
                <c:pt idx="13">
                  <c:v>2.5470638183700198E-2</c:v>
                </c:pt>
                <c:pt idx="14">
                  <c:v>2.4901761409167986E-2</c:v>
                </c:pt>
                <c:pt idx="15">
                  <c:v>3.2744587794277497E-2</c:v>
                </c:pt>
                <c:pt idx="16">
                  <c:v>4.3517802870350474E-2</c:v>
                </c:pt>
                <c:pt idx="17">
                  <c:v>2.851917234146022E-2</c:v>
                </c:pt>
                <c:pt idx="18">
                  <c:v>2.1665973038442251E-2</c:v>
                </c:pt>
                <c:pt idx="19">
                  <c:v>2.0699212820891984E-2</c:v>
                </c:pt>
                <c:pt idx="20">
                  <c:v>1.4101106095645487E-2</c:v>
                </c:pt>
                <c:pt idx="21">
                  <c:v>6.7363242175848227E-3</c:v>
                </c:pt>
              </c:numCache>
            </c:numRef>
          </c:val>
          <c:smooth val="0"/>
        </c:ser>
        <c:ser>
          <c:idx val="6"/>
          <c:order val="6"/>
          <c:tx>
            <c:v>% LIMOMERO</c:v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'NAR-EDAD'!$B$63:$W$63</c:f>
              <c:numCache>
                <c:formatCode>0%</c:formatCode>
                <c:ptCount val="22"/>
                <c:pt idx="0">
                  <c:v>0.36478656371695312</c:v>
                </c:pt>
                <c:pt idx="1">
                  <c:v>8.9271005404112494E-2</c:v>
                </c:pt>
                <c:pt idx="2">
                  <c:v>2.0683250241054812E-2</c:v>
                </c:pt>
                <c:pt idx="3">
                  <c:v>1.6643620082668717E-2</c:v>
                </c:pt>
                <c:pt idx="4">
                  <c:v>1.4816835716474692E-2</c:v>
                </c:pt>
                <c:pt idx="5">
                  <c:v>1.584944725571244E-2</c:v>
                </c:pt>
                <c:pt idx="6">
                  <c:v>3.1990776383355631E-2</c:v>
                </c:pt>
                <c:pt idx="7">
                  <c:v>7.5564143003430829E-3</c:v>
                </c:pt>
                <c:pt idx="8">
                  <c:v>1.1060865405457931E-2</c:v>
                </c:pt>
                <c:pt idx="9">
                  <c:v>1.1606508853625538E-2</c:v>
                </c:pt>
                <c:pt idx="10">
                  <c:v>1.1239133847085294E-2</c:v>
                </c:pt>
                <c:pt idx="11">
                  <c:v>3.8939508322931228E-2</c:v>
                </c:pt>
                <c:pt idx="12">
                  <c:v>2.0167878792408826E-2</c:v>
                </c:pt>
                <c:pt idx="13">
                  <c:v>2.124533773834528E-2</c:v>
                </c:pt>
                <c:pt idx="14">
                  <c:v>3.1513525230403544E-2</c:v>
                </c:pt>
                <c:pt idx="15">
                  <c:v>4.5036886992009681E-2</c:v>
                </c:pt>
                <c:pt idx="16">
                  <c:v>5.5309559224737827E-2</c:v>
                </c:pt>
                <c:pt idx="17">
                  <c:v>4.2289609603324681E-2</c:v>
                </c:pt>
                <c:pt idx="18">
                  <c:v>4.6904034024232544E-2</c:v>
                </c:pt>
                <c:pt idx="19">
                  <c:v>5.3030189779276024E-2</c:v>
                </c:pt>
                <c:pt idx="20">
                  <c:v>3.8468236824205637E-2</c:v>
                </c:pt>
                <c:pt idx="21">
                  <c:v>1.1590812261280992E-2</c:v>
                </c:pt>
              </c:numCache>
            </c:numRef>
          </c:val>
          <c:smooth val="0"/>
        </c:ser>
        <c:ser>
          <c:idx val="7"/>
          <c:order val="7"/>
          <c:tx>
            <c:v>% POMELO</c:v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'NAR-EDAD'!$B$64:$W$64</c:f>
              <c:numCache>
                <c:formatCode>0%</c:formatCode>
                <c:ptCount val="22"/>
                <c:pt idx="0">
                  <c:v>0.14462518882633807</c:v>
                </c:pt>
                <c:pt idx="1">
                  <c:v>8.3865609077264563E-2</c:v>
                </c:pt>
                <c:pt idx="2">
                  <c:v>2.1838282081048387E-2</c:v>
                </c:pt>
                <c:pt idx="3">
                  <c:v>1.3571209994316991E-2</c:v>
                </c:pt>
                <c:pt idx="4">
                  <c:v>4.5046314061308448E-2</c:v>
                </c:pt>
                <c:pt idx="5">
                  <c:v>2.222686361273964E-2</c:v>
                </c:pt>
                <c:pt idx="6">
                  <c:v>4.2734253947745486E-2</c:v>
                </c:pt>
                <c:pt idx="7">
                  <c:v>3.4258319287730044E-2</c:v>
                </c:pt>
                <c:pt idx="8">
                  <c:v>4.3088834595413746E-2</c:v>
                </c:pt>
                <c:pt idx="9">
                  <c:v>2.4504922842279606E-2</c:v>
                </c:pt>
                <c:pt idx="10">
                  <c:v>1.5650121188865194E-2</c:v>
                </c:pt>
                <c:pt idx="11">
                  <c:v>5.3920544791307423E-2</c:v>
                </c:pt>
                <c:pt idx="12">
                  <c:v>2.9653628137188703E-2</c:v>
                </c:pt>
                <c:pt idx="13">
                  <c:v>1.999251980551494E-2</c:v>
                </c:pt>
                <c:pt idx="14">
                  <c:v>1.7942752225843583E-2</c:v>
                </c:pt>
                <c:pt idx="15">
                  <c:v>4.8431830656168483E-2</c:v>
                </c:pt>
                <c:pt idx="16">
                  <c:v>1.8384763718142384E-2</c:v>
                </c:pt>
                <c:pt idx="17">
                  <c:v>5.1355906682145153E-2</c:v>
                </c:pt>
                <c:pt idx="18">
                  <c:v>5.7782073762489235E-2</c:v>
                </c:pt>
                <c:pt idx="19">
                  <c:v>5.6902908047037785E-2</c:v>
                </c:pt>
                <c:pt idx="20">
                  <c:v>9.0471495116015863E-2</c:v>
                </c:pt>
                <c:pt idx="21">
                  <c:v>6.3751657543096113E-2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63760"/>
        <c:axId val="-30061584"/>
      </c:lineChart>
      <c:catAx>
        <c:axId val="-300779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9744"/>
        <c:crosses val="autoZero"/>
        <c:auto val="1"/>
        <c:lblAlgn val="ctr"/>
        <c:lblOffset val="100"/>
        <c:noMultiLvlLbl val="0"/>
      </c:catAx>
      <c:valAx>
        <c:axId val="-30069744"/>
        <c:scaling>
          <c:orientation val="minMax"/>
          <c:max val="9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7904"/>
        <c:crosses val="autoZero"/>
        <c:crossBetween val="between"/>
      </c:valAx>
      <c:valAx>
        <c:axId val="-3006158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3760"/>
        <c:crosses val="max"/>
        <c:crossBetween val="between"/>
      </c:valAx>
      <c:catAx>
        <c:axId val="-30063760"/>
        <c:scaling>
          <c:orientation val="minMax"/>
        </c:scaling>
        <c:delete val="1"/>
        <c:axPos val="b"/>
        <c:majorTickMark val="out"/>
        <c:minorTickMark val="none"/>
        <c:tickLblPos val="nextTo"/>
        <c:crossAx val="-3006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 por edades por tipos de Cítricos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% NARANJO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'NAR-EDAD'!$B$55:$W$55</c15:sqref>
                  </c15:fullRef>
                </c:ext>
              </c:extLst>
              <c:f>'NAR-EDAD'!$C$55:$W$55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'NAR-EDAD'!$B$61:$W$61</c15:sqref>
                  </c15:fullRef>
                </c:ext>
              </c:extLst>
              <c:f>'NAR-EDAD'!$C$61:$W$61</c:f>
              <c:numCache>
                <c:formatCode>0%</c:formatCode>
                <c:ptCount val="21"/>
                <c:pt idx="0">
                  <c:v>8.1931327600293397E-2</c:v>
                </c:pt>
                <c:pt idx="1">
                  <c:v>2.1710791556495801E-2</c:v>
                </c:pt>
                <c:pt idx="2">
                  <c:v>2.522138979579865E-2</c:v>
                </c:pt>
                <c:pt idx="3">
                  <c:v>2.7722667612322748E-2</c:v>
                </c:pt>
                <c:pt idx="4">
                  <c:v>4.4293047422315601E-2</c:v>
                </c:pt>
                <c:pt idx="5">
                  <c:v>5.8359806517867048E-2</c:v>
                </c:pt>
                <c:pt idx="6">
                  <c:v>4.9128976155484463E-2</c:v>
                </c:pt>
                <c:pt idx="7">
                  <c:v>3.3693121232971593E-2</c:v>
                </c:pt>
                <c:pt idx="8">
                  <c:v>2.9895846004506243E-2</c:v>
                </c:pt>
                <c:pt idx="9">
                  <c:v>2.6898998420511945E-2</c:v>
                </c:pt>
                <c:pt idx="10">
                  <c:v>3.5813350132223795E-2</c:v>
                </c:pt>
                <c:pt idx="11">
                  <c:v>1.7085911067718562E-2</c:v>
                </c:pt>
                <c:pt idx="12">
                  <c:v>1.6683494921440764E-2</c:v>
                </c:pt>
                <c:pt idx="13">
                  <c:v>1.715975921007229E-2</c:v>
                </c:pt>
                <c:pt idx="14">
                  <c:v>1.5923271405230813E-2</c:v>
                </c:pt>
                <c:pt idx="15">
                  <c:v>1.5727686287093465E-2</c:v>
                </c:pt>
                <c:pt idx="16">
                  <c:v>1.6472821540715912E-2</c:v>
                </c:pt>
                <c:pt idx="17">
                  <c:v>2.0250885006259291E-2</c:v>
                </c:pt>
                <c:pt idx="18">
                  <c:v>3.6953497974705325E-2</c:v>
                </c:pt>
                <c:pt idx="19">
                  <c:v>2.7787237878923912E-2</c:v>
                </c:pt>
                <c:pt idx="20">
                  <c:v>1.2007164394399316E-2</c:v>
                </c:pt>
              </c:numCache>
            </c:numRef>
          </c:val>
          <c:smooth val="0"/>
        </c:ser>
        <c:ser>
          <c:idx val="5"/>
          <c:order val="1"/>
          <c:tx>
            <c:v>% PEQ CÍTRICOS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'NAR-EDAD'!$B$55:$W$55</c15:sqref>
                  </c15:fullRef>
                </c:ext>
              </c:extLst>
              <c:f>'NAR-EDAD'!$C$55:$W$55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'NAR-EDAD'!$B$62:$W$62</c15:sqref>
                  </c15:fullRef>
                </c:ext>
              </c:extLst>
              <c:f>'NAR-EDAD'!$C$62:$W$62</c:f>
              <c:numCache>
                <c:formatCode>0%</c:formatCode>
                <c:ptCount val="21"/>
                <c:pt idx="0">
                  <c:v>0.10351816874018312</c:v>
                </c:pt>
                <c:pt idx="1">
                  <c:v>3.175089549182307E-2</c:v>
                </c:pt>
                <c:pt idx="2">
                  <c:v>3.6535913935219697E-2</c:v>
                </c:pt>
                <c:pt idx="3">
                  <c:v>3.2693391425332313E-2</c:v>
                </c:pt>
                <c:pt idx="4">
                  <c:v>4.8989589478803185E-2</c:v>
                </c:pt>
                <c:pt idx="5">
                  <c:v>3.8730751816772394E-2</c:v>
                </c:pt>
                <c:pt idx="6">
                  <c:v>1.768142189212633E-2</c:v>
                </c:pt>
                <c:pt idx="7">
                  <c:v>1.9061056052782823E-2</c:v>
                </c:pt>
                <c:pt idx="8">
                  <c:v>1.8965523374254858E-2</c:v>
                </c:pt>
                <c:pt idx="9">
                  <c:v>1.8098361055595452E-2</c:v>
                </c:pt>
                <c:pt idx="10">
                  <c:v>3.3039062194314489E-2</c:v>
                </c:pt>
                <c:pt idx="11">
                  <c:v>1.8624044863771928E-2</c:v>
                </c:pt>
                <c:pt idx="12">
                  <c:v>2.5470638183700198E-2</c:v>
                </c:pt>
                <c:pt idx="13">
                  <c:v>2.4901761409167986E-2</c:v>
                </c:pt>
                <c:pt idx="14">
                  <c:v>3.2744587794277497E-2</c:v>
                </c:pt>
                <c:pt idx="15">
                  <c:v>4.3517802870350474E-2</c:v>
                </c:pt>
                <c:pt idx="16">
                  <c:v>2.851917234146022E-2</c:v>
                </c:pt>
                <c:pt idx="17">
                  <c:v>2.1665973038442251E-2</c:v>
                </c:pt>
                <c:pt idx="18">
                  <c:v>2.0699212820891984E-2</c:v>
                </c:pt>
                <c:pt idx="19">
                  <c:v>1.4101106095645487E-2</c:v>
                </c:pt>
                <c:pt idx="20">
                  <c:v>6.7363242175848227E-3</c:v>
                </c:pt>
              </c:numCache>
            </c:numRef>
          </c:val>
          <c:smooth val="0"/>
        </c:ser>
        <c:ser>
          <c:idx val="6"/>
          <c:order val="2"/>
          <c:tx>
            <c:v>% LIMOMERO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'NAR-EDAD'!$B$55:$W$55</c15:sqref>
                  </c15:fullRef>
                </c:ext>
              </c:extLst>
              <c:f>'NAR-EDAD'!$C$55:$W$55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'NAR-EDAD'!$B$63:$W$63</c15:sqref>
                  </c15:fullRef>
                </c:ext>
              </c:extLst>
              <c:f>'NAR-EDAD'!$C$63:$W$63</c:f>
              <c:numCache>
                <c:formatCode>0%</c:formatCode>
                <c:ptCount val="21"/>
                <c:pt idx="0">
                  <c:v>8.9271005404112494E-2</c:v>
                </c:pt>
                <c:pt idx="1">
                  <c:v>2.0683250241054812E-2</c:v>
                </c:pt>
                <c:pt idx="2">
                  <c:v>1.6643620082668717E-2</c:v>
                </c:pt>
                <c:pt idx="3">
                  <c:v>1.4816835716474692E-2</c:v>
                </c:pt>
                <c:pt idx="4">
                  <c:v>1.584944725571244E-2</c:v>
                </c:pt>
                <c:pt idx="5">
                  <c:v>3.1990776383355631E-2</c:v>
                </c:pt>
                <c:pt idx="6">
                  <c:v>7.5564143003430829E-3</c:v>
                </c:pt>
                <c:pt idx="7">
                  <c:v>1.1060865405457931E-2</c:v>
                </c:pt>
                <c:pt idx="8">
                  <c:v>1.1606508853625538E-2</c:v>
                </c:pt>
                <c:pt idx="9">
                  <c:v>1.1239133847085294E-2</c:v>
                </c:pt>
                <c:pt idx="10">
                  <c:v>3.8939508322931228E-2</c:v>
                </c:pt>
                <c:pt idx="11">
                  <c:v>2.0167878792408826E-2</c:v>
                </c:pt>
                <c:pt idx="12">
                  <c:v>2.124533773834528E-2</c:v>
                </c:pt>
                <c:pt idx="13">
                  <c:v>3.1513525230403544E-2</c:v>
                </c:pt>
                <c:pt idx="14">
                  <c:v>4.5036886992009681E-2</c:v>
                </c:pt>
                <c:pt idx="15">
                  <c:v>5.5309559224737827E-2</c:v>
                </c:pt>
                <c:pt idx="16">
                  <c:v>4.2289609603324681E-2</c:v>
                </c:pt>
                <c:pt idx="17">
                  <c:v>4.6904034024232544E-2</c:v>
                </c:pt>
                <c:pt idx="18">
                  <c:v>5.3030189779276024E-2</c:v>
                </c:pt>
                <c:pt idx="19">
                  <c:v>3.8468236824205637E-2</c:v>
                </c:pt>
                <c:pt idx="20">
                  <c:v>1.1590812261280992E-2</c:v>
                </c:pt>
              </c:numCache>
            </c:numRef>
          </c:val>
          <c:smooth val="0"/>
        </c:ser>
        <c:ser>
          <c:idx val="7"/>
          <c:order val="3"/>
          <c:tx>
            <c:v>% POMELO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'NAR-EDAD'!$B$55:$W$55</c15:sqref>
                  </c15:fullRef>
                </c:ext>
              </c:extLst>
              <c:f>'NAR-EDAD'!$C$55:$W$55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'NAR-EDAD'!$B$64:$W$64</c15:sqref>
                  </c15:fullRef>
                </c:ext>
              </c:extLst>
              <c:f>'NAR-EDAD'!$C$64:$W$64</c:f>
              <c:numCache>
                <c:formatCode>0%</c:formatCode>
                <c:ptCount val="21"/>
                <c:pt idx="0">
                  <c:v>8.3865609077264563E-2</c:v>
                </c:pt>
                <c:pt idx="1">
                  <c:v>2.1838282081048387E-2</c:v>
                </c:pt>
                <c:pt idx="2">
                  <c:v>1.3571209994316991E-2</c:v>
                </c:pt>
                <c:pt idx="3">
                  <c:v>4.5046314061308448E-2</c:v>
                </c:pt>
                <c:pt idx="4">
                  <c:v>2.222686361273964E-2</c:v>
                </c:pt>
                <c:pt idx="5">
                  <c:v>4.2734253947745486E-2</c:v>
                </c:pt>
                <c:pt idx="6">
                  <c:v>3.4258319287730044E-2</c:v>
                </c:pt>
                <c:pt idx="7">
                  <c:v>4.3088834595413746E-2</c:v>
                </c:pt>
                <c:pt idx="8">
                  <c:v>2.4504922842279606E-2</c:v>
                </c:pt>
                <c:pt idx="9">
                  <c:v>1.5650121188865194E-2</c:v>
                </c:pt>
                <c:pt idx="10">
                  <c:v>5.3920544791307423E-2</c:v>
                </c:pt>
                <c:pt idx="11">
                  <c:v>2.9653628137188703E-2</c:v>
                </c:pt>
                <c:pt idx="12">
                  <c:v>1.999251980551494E-2</c:v>
                </c:pt>
                <c:pt idx="13">
                  <c:v>1.7942752225843583E-2</c:v>
                </c:pt>
                <c:pt idx="14">
                  <c:v>4.8431830656168483E-2</c:v>
                </c:pt>
                <c:pt idx="15">
                  <c:v>1.8384763718142384E-2</c:v>
                </c:pt>
                <c:pt idx="16">
                  <c:v>5.1355906682145153E-2</c:v>
                </c:pt>
                <c:pt idx="17">
                  <c:v>5.7782073762489235E-2</c:v>
                </c:pt>
                <c:pt idx="18">
                  <c:v>5.6902908047037785E-2</c:v>
                </c:pt>
                <c:pt idx="19">
                  <c:v>9.0471495116015863E-2</c:v>
                </c:pt>
                <c:pt idx="20">
                  <c:v>6.3751657543096113E-2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9872"/>
        <c:axId val="-30073552"/>
      </c:lineChart>
      <c:catAx>
        <c:axId val="-3008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3552"/>
        <c:crosses val="autoZero"/>
        <c:auto val="1"/>
        <c:lblAlgn val="ctr"/>
        <c:lblOffset val="100"/>
        <c:noMultiLvlLbl val="0"/>
      </c:catAx>
      <c:valAx>
        <c:axId val="-30073552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'NAR-EDAD'!$D$3:$W$3</c:f>
              <c:strCache>
                <c:ptCount val="20"/>
                <c:pt idx="0">
                  <c:v>2.001</c:v>
                </c:pt>
                <c:pt idx="1">
                  <c:v>2.002</c:v>
                </c:pt>
                <c:pt idx="2">
                  <c:v>2.003</c:v>
                </c:pt>
                <c:pt idx="3">
                  <c:v>2.004</c:v>
                </c:pt>
                <c:pt idx="4">
                  <c:v>2.005</c:v>
                </c:pt>
                <c:pt idx="5">
                  <c:v>2.006</c:v>
                </c:pt>
                <c:pt idx="6">
                  <c:v>2.007</c:v>
                </c:pt>
                <c:pt idx="7">
                  <c:v>2.008</c:v>
                </c:pt>
                <c:pt idx="8">
                  <c:v>2.009</c:v>
                </c:pt>
                <c:pt idx="9">
                  <c:v>2.010</c:v>
                </c:pt>
                <c:pt idx="10">
                  <c:v>2.011</c:v>
                </c:pt>
                <c:pt idx="11">
                  <c:v>2.012</c:v>
                </c:pt>
                <c:pt idx="12">
                  <c:v>2.013</c:v>
                </c:pt>
                <c:pt idx="13">
                  <c:v>2.014</c:v>
                </c:pt>
                <c:pt idx="14">
                  <c:v>2.015</c:v>
                </c:pt>
                <c:pt idx="15">
                  <c:v>2.016</c:v>
                </c:pt>
                <c:pt idx="16">
                  <c:v>2.017</c:v>
                </c:pt>
                <c:pt idx="17">
                  <c:v>2.018</c:v>
                </c:pt>
                <c:pt idx="18">
                  <c:v>2.019</c:v>
                </c:pt>
                <c:pt idx="19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'NAR-EDAD'!$B$4:$W$4</c15:sqref>
                  </c15:fullRef>
                </c:ext>
              </c:extLst>
              <c:f>'NAR-EDAD'!$D$4:$W$4</c:f>
              <c:numCache>
                <c:formatCode>#,##0</c:formatCode>
                <c:ptCount val="20"/>
                <c:pt idx="0">
                  <c:v>1040.3700000000001</c:v>
                </c:pt>
                <c:pt idx="1">
                  <c:v>1328.48</c:v>
                </c:pt>
                <c:pt idx="2">
                  <c:v>1663.69</c:v>
                </c:pt>
                <c:pt idx="3">
                  <c:v>2611.38</c:v>
                </c:pt>
                <c:pt idx="4">
                  <c:v>3515.8599999999997</c:v>
                </c:pt>
                <c:pt idx="5">
                  <c:v>3957.35</c:v>
                </c:pt>
                <c:pt idx="6">
                  <c:v>2331.37</c:v>
                </c:pt>
                <c:pt idx="7">
                  <c:v>1767.3300000000002</c:v>
                </c:pt>
                <c:pt idx="8">
                  <c:v>1530.41</c:v>
                </c:pt>
                <c:pt idx="9">
                  <c:v>1424.5299999999997</c:v>
                </c:pt>
                <c:pt idx="10">
                  <c:v>887.28</c:v>
                </c:pt>
                <c:pt idx="11">
                  <c:v>689.32999999999993</c:v>
                </c:pt>
                <c:pt idx="12">
                  <c:v>999.49999999999989</c:v>
                </c:pt>
                <c:pt idx="13">
                  <c:v>603.70000000000005</c:v>
                </c:pt>
                <c:pt idx="14">
                  <c:v>730.83999999999992</c:v>
                </c:pt>
                <c:pt idx="15">
                  <c:v>949.33</c:v>
                </c:pt>
                <c:pt idx="16">
                  <c:v>1141.82</c:v>
                </c:pt>
                <c:pt idx="17">
                  <c:v>2417.15</c:v>
                </c:pt>
                <c:pt idx="18">
                  <c:v>1808.9499999999998</c:v>
                </c:pt>
                <c:pt idx="19">
                  <c:v>993.54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'NAR-EDAD'!$A$15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'NAR-EDAD'!$D$3:$W$3</c:f>
              <c:strCache>
                <c:ptCount val="20"/>
                <c:pt idx="0">
                  <c:v>2.001</c:v>
                </c:pt>
                <c:pt idx="1">
                  <c:v>2.002</c:v>
                </c:pt>
                <c:pt idx="2">
                  <c:v>2.003</c:v>
                </c:pt>
                <c:pt idx="3">
                  <c:v>2.004</c:v>
                </c:pt>
                <c:pt idx="4">
                  <c:v>2.005</c:v>
                </c:pt>
                <c:pt idx="5">
                  <c:v>2.006</c:v>
                </c:pt>
                <c:pt idx="6">
                  <c:v>2.007</c:v>
                </c:pt>
                <c:pt idx="7">
                  <c:v>2.008</c:v>
                </c:pt>
                <c:pt idx="8">
                  <c:v>2.009</c:v>
                </c:pt>
                <c:pt idx="9">
                  <c:v>2.010</c:v>
                </c:pt>
                <c:pt idx="10">
                  <c:v>2.011</c:v>
                </c:pt>
                <c:pt idx="11">
                  <c:v>2.012</c:v>
                </c:pt>
                <c:pt idx="12">
                  <c:v>2.013</c:v>
                </c:pt>
                <c:pt idx="13">
                  <c:v>2.014</c:v>
                </c:pt>
                <c:pt idx="14">
                  <c:v>2.015</c:v>
                </c:pt>
                <c:pt idx="15">
                  <c:v>2.016</c:v>
                </c:pt>
                <c:pt idx="16">
                  <c:v>2.017</c:v>
                </c:pt>
                <c:pt idx="17">
                  <c:v>2.018</c:v>
                </c:pt>
                <c:pt idx="18">
                  <c:v>2.019</c:v>
                </c:pt>
                <c:pt idx="19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'NAR-EDAD'!$B$15:$W$15</c15:sqref>
                  </c15:fullRef>
                </c:ext>
              </c:extLst>
              <c:f>'NAR-EDAD'!$D$15:$W$15</c:f>
              <c:numCache>
                <c:formatCode>#,##0</c:formatCode>
                <c:ptCount val="20"/>
                <c:pt idx="0">
                  <c:v>979.08000000000015</c:v>
                </c:pt>
                <c:pt idx="1">
                  <c:v>1115.82</c:v>
                </c:pt>
                <c:pt idx="2">
                  <c:v>1016.23</c:v>
                </c:pt>
                <c:pt idx="3">
                  <c:v>1838.7100000000005</c:v>
                </c:pt>
                <c:pt idx="4">
                  <c:v>2064.33</c:v>
                </c:pt>
                <c:pt idx="5">
                  <c:v>963.31999999999994</c:v>
                </c:pt>
                <c:pt idx="6">
                  <c:v>967.57999999999993</c:v>
                </c:pt>
                <c:pt idx="7">
                  <c:v>1162.76</c:v>
                </c:pt>
                <c:pt idx="8">
                  <c:v>1179.07</c:v>
                </c:pt>
                <c:pt idx="9">
                  <c:v>1953.5500000000002</c:v>
                </c:pt>
                <c:pt idx="10">
                  <c:v>767.43000000000006</c:v>
                </c:pt>
                <c:pt idx="11">
                  <c:v>916.16</c:v>
                </c:pt>
                <c:pt idx="12">
                  <c:v>741.55000000000018</c:v>
                </c:pt>
                <c:pt idx="13">
                  <c:v>862.23</c:v>
                </c:pt>
                <c:pt idx="14">
                  <c:v>768.34</c:v>
                </c:pt>
                <c:pt idx="15">
                  <c:v>628.26</c:v>
                </c:pt>
                <c:pt idx="16">
                  <c:v>853.20000000000016</c:v>
                </c:pt>
                <c:pt idx="17">
                  <c:v>1336.4599999999998</c:v>
                </c:pt>
                <c:pt idx="18">
                  <c:v>957.22</c:v>
                </c:pt>
                <c:pt idx="19">
                  <c:v>265.35999999999996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0832"/>
        <c:axId val="-30093136"/>
      </c:barChart>
      <c:lineChart>
        <c:grouping val="standard"/>
        <c:varyColors val="0"/>
        <c:ser>
          <c:idx val="2"/>
          <c:order val="2"/>
          <c:tx>
            <c:v>% C. VALENCIANA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  <c:pt idx="16">
                <c:v>19</c:v>
              </c:pt>
              <c:pt idx="17">
                <c:v>20</c:v>
              </c:pt>
              <c:pt idx="18">
                <c:v>21</c:v>
              </c:pt>
              <c:pt idx="19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'NAR-EDAD'!$B$44:$W$44</c15:sqref>
                  </c15:fullRef>
                </c:ext>
              </c:extLst>
              <c:f>'NAR-EDAD'!$D$44:$W$44</c:f>
              <c:numCache>
                <c:formatCode>0%</c:formatCode>
                <c:ptCount val="20"/>
                <c:pt idx="0">
                  <c:v>2.0155549425438801E-2</c:v>
                </c:pt>
                <c:pt idx="1">
                  <c:v>2.2970508191254152E-2</c:v>
                </c:pt>
                <c:pt idx="2">
                  <c:v>2.0920327238441873E-2</c:v>
                </c:pt>
                <c:pt idx="3">
                  <c:v>3.7852075707856946E-2</c:v>
                </c:pt>
                <c:pt idx="4">
                  <c:v>4.2496737085239274E-2</c:v>
                </c:pt>
                <c:pt idx="5">
                  <c:v>1.9831110708536277E-2</c:v>
                </c:pt>
                <c:pt idx="6">
                  <c:v>1.9918807975922364E-2</c:v>
                </c:pt>
                <c:pt idx="7">
                  <c:v>2.3936825029541219E-2</c:v>
                </c:pt>
                <c:pt idx="8">
                  <c:v>2.4272586163594519E-2</c:v>
                </c:pt>
                <c:pt idx="9">
                  <c:v>4.0216196408941009E-2</c:v>
                </c:pt>
                <c:pt idx="10">
                  <c:v>1.5798477443686416E-2</c:v>
                </c:pt>
                <c:pt idx="11">
                  <c:v>1.8860264903388903E-2</c:v>
                </c:pt>
                <c:pt idx="12">
                  <c:v>1.5265706251209444E-2</c:v>
                </c:pt>
                <c:pt idx="13">
                  <c:v>1.7750050436221854E-2</c:v>
                </c:pt>
                <c:pt idx="14">
                  <c:v>1.5817210897517715E-2</c:v>
                </c:pt>
                <c:pt idx="15">
                  <c:v>1.2933494180277585E-2</c:v>
                </c:pt>
                <c:pt idx="16">
                  <c:v>1.7564156932818958E-2</c:v>
                </c:pt>
                <c:pt idx="17">
                  <c:v>2.7512650227889377E-2</c:v>
                </c:pt>
                <c:pt idx="18">
                  <c:v>1.9705534809227567E-2</c:v>
                </c:pt>
                <c:pt idx="19">
                  <c:v>5.4627574820591152E-3</c:v>
                </c:pt>
              </c:numCache>
            </c:numRef>
          </c:val>
          <c:smooth val="0"/>
        </c:ser>
        <c:ser>
          <c:idx val="3"/>
          <c:order val="3"/>
          <c:tx>
            <c:v>% ANDALUCÍA</c:v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13</c:v>
              </c:pt>
              <c:pt idx="11">
                <c:v>14</c:v>
              </c:pt>
              <c:pt idx="12">
                <c:v>15</c:v>
              </c:pt>
              <c:pt idx="13">
                <c:v>16</c:v>
              </c:pt>
              <c:pt idx="14">
                <c:v>17</c:v>
              </c:pt>
              <c:pt idx="15">
                <c:v>18</c:v>
              </c:pt>
              <c:pt idx="16">
                <c:v>19</c:v>
              </c:pt>
              <c:pt idx="17">
                <c:v>20</c:v>
              </c:pt>
              <c:pt idx="18">
                <c:v>21</c:v>
              </c:pt>
              <c:pt idx="19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'NAR-EDAD'!$B$42:$W$42</c15:sqref>
                  </c15:fullRef>
                </c:ext>
              </c:extLst>
              <c:f>'NAR-EDAD'!$D$42:$W$42</c:f>
              <c:numCache>
                <c:formatCode>0%</c:formatCode>
                <c:ptCount val="20"/>
                <c:pt idx="0">
                  <c:v>2.0660852572701831E-2</c:v>
                </c:pt>
                <c:pt idx="1">
                  <c:v>2.638246914634498E-2</c:v>
                </c:pt>
                <c:pt idx="2">
                  <c:v>3.3039451172831115E-2</c:v>
                </c:pt>
                <c:pt idx="3">
                  <c:v>5.1859758731318761E-2</c:v>
                </c:pt>
                <c:pt idx="4">
                  <c:v>6.9821952888164257E-2</c:v>
                </c:pt>
                <c:pt idx="5">
                  <c:v>7.8589564220980596E-2</c:v>
                </c:pt>
                <c:pt idx="6">
                  <c:v>4.6299001184597649E-2</c:v>
                </c:pt>
                <c:pt idx="7">
                  <c:v>3.5097652351868208E-2</c:v>
                </c:pt>
                <c:pt idx="8">
                  <c:v>3.0392625110094107E-2</c:v>
                </c:pt>
                <c:pt idx="9">
                  <c:v>2.8289939459414371E-2</c:v>
                </c:pt>
                <c:pt idx="10">
                  <c:v>1.7620616963875235E-2</c:v>
                </c:pt>
                <c:pt idx="11">
                  <c:v>1.3689500373848295E-2</c:v>
                </c:pt>
                <c:pt idx="12">
                  <c:v>1.9849209556614931E-2</c:v>
                </c:pt>
                <c:pt idx="13">
                  <c:v>1.1988962290473672E-2</c:v>
                </c:pt>
                <c:pt idx="14">
                  <c:v>1.4513853238975943E-2</c:v>
                </c:pt>
                <c:pt idx="15">
                  <c:v>1.8852876546654584E-2</c:v>
                </c:pt>
                <c:pt idx="16">
                  <c:v>2.2675562237052586E-2</c:v>
                </c:pt>
                <c:pt idx="17">
                  <c:v>4.8002518138841203E-2</c:v>
                </c:pt>
                <c:pt idx="18">
                  <c:v>3.5924189722299729E-2</c:v>
                </c:pt>
                <c:pt idx="19">
                  <c:v>1.9730849087422911E-2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69200"/>
        <c:axId val="-30070288"/>
      </c:lineChart>
      <c:catAx>
        <c:axId val="-30070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3136"/>
        <c:crosses val="autoZero"/>
        <c:auto val="1"/>
        <c:lblAlgn val="ctr"/>
        <c:lblOffset val="100"/>
        <c:noMultiLvlLbl val="0"/>
      </c:catAx>
      <c:valAx>
        <c:axId val="-30093136"/>
        <c:scaling>
          <c:orientation val="minMax"/>
          <c:max val="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0832"/>
        <c:crosses val="autoZero"/>
        <c:crossBetween val="between"/>
      </c:valAx>
      <c:valAx>
        <c:axId val="-30070288"/>
        <c:scaling>
          <c:orientation val="minMax"/>
          <c:max val="8.0000000000000016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9200"/>
        <c:crosses val="max"/>
        <c:crossBetween val="between"/>
      </c:valAx>
      <c:catAx>
        <c:axId val="-30069200"/>
        <c:scaling>
          <c:orientation val="minMax"/>
        </c:scaling>
        <c:delete val="1"/>
        <c:axPos val="b"/>
        <c:majorTickMark val="out"/>
        <c:minorTickMark val="none"/>
        <c:tickLblPos val="nextTo"/>
        <c:crossAx val="-30070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'NAR-EDAD'!$B$4:$W$4</c15:sqref>
                  </c15:fullRef>
                </c:ext>
              </c:extLst>
              <c:f>'NAR-EDAD'!$C$4:$W$4</c:f>
              <c:numCache>
                <c:formatCode>#,##0</c:formatCode>
                <c:ptCount val="21"/>
                <c:pt idx="0">
                  <c:v>3426.8999999999996</c:v>
                </c:pt>
                <c:pt idx="1">
                  <c:v>1040.3700000000001</c:v>
                </c:pt>
                <c:pt idx="2">
                  <c:v>1328.48</c:v>
                </c:pt>
                <c:pt idx="3">
                  <c:v>1663.69</c:v>
                </c:pt>
                <c:pt idx="4">
                  <c:v>2611.38</c:v>
                </c:pt>
                <c:pt idx="5">
                  <c:v>3515.8599999999997</c:v>
                </c:pt>
                <c:pt idx="6">
                  <c:v>3957.35</c:v>
                </c:pt>
                <c:pt idx="7">
                  <c:v>2331.37</c:v>
                </c:pt>
                <c:pt idx="8">
                  <c:v>1767.3300000000002</c:v>
                </c:pt>
                <c:pt idx="9">
                  <c:v>1530.41</c:v>
                </c:pt>
                <c:pt idx="10">
                  <c:v>1424.5299999999997</c:v>
                </c:pt>
                <c:pt idx="11">
                  <c:v>887.28</c:v>
                </c:pt>
                <c:pt idx="12">
                  <c:v>689.32999999999993</c:v>
                </c:pt>
                <c:pt idx="13">
                  <c:v>999.49999999999989</c:v>
                </c:pt>
                <c:pt idx="14">
                  <c:v>603.70000000000005</c:v>
                </c:pt>
                <c:pt idx="15">
                  <c:v>730.83999999999992</c:v>
                </c:pt>
                <c:pt idx="16">
                  <c:v>949.33</c:v>
                </c:pt>
                <c:pt idx="17">
                  <c:v>1141.82</c:v>
                </c:pt>
                <c:pt idx="18">
                  <c:v>2417.15</c:v>
                </c:pt>
                <c:pt idx="19">
                  <c:v>1808.9499999999998</c:v>
                </c:pt>
                <c:pt idx="20">
                  <c:v>993.54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80-447E-966F-271F260406EE}"/>
            </c:ext>
          </c:extLst>
        </c:ser>
        <c:ser>
          <c:idx val="1"/>
          <c:order val="1"/>
          <c:tx>
            <c:strRef>
              <c:f>'NAR-EDAD'!$A$15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'NAR-EDAD'!$B$3:$W$3</c15:sqref>
                  </c15:fullRef>
                </c:ext>
              </c:extLst>
              <c:f>'NAR-EDAD'!$C$3:$W$3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'NAR-EDAD'!$B$15:$W$15</c15:sqref>
                  </c15:fullRef>
                </c:ext>
              </c:extLst>
              <c:f>'NAR-EDAD'!$C$15:$W$15</c:f>
              <c:numCache>
                <c:formatCode>#,##0</c:formatCode>
                <c:ptCount val="21"/>
                <c:pt idx="0">
                  <c:v>4673.2000000000007</c:v>
                </c:pt>
                <c:pt idx="1">
                  <c:v>979.08000000000015</c:v>
                </c:pt>
                <c:pt idx="2">
                  <c:v>1115.82</c:v>
                </c:pt>
                <c:pt idx="3">
                  <c:v>1016.23</c:v>
                </c:pt>
                <c:pt idx="4">
                  <c:v>1838.7100000000005</c:v>
                </c:pt>
                <c:pt idx="5">
                  <c:v>2064.33</c:v>
                </c:pt>
                <c:pt idx="6">
                  <c:v>963.31999999999994</c:v>
                </c:pt>
                <c:pt idx="7">
                  <c:v>967.57999999999993</c:v>
                </c:pt>
                <c:pt idx="8">
                  <c:v>1162.76</c:v>
                </c:pt>
                <c:pt idx="9">
                  <c:v>1179.07</c:v>
                </c:pt>
                <c:pt idx="10">
                  <c:v>1953.5500000000002</c:v>
                </c:pt>
                <c:pt idx="11">
                  <c:v>767.43000000000006</c:v>
                </c:pt>
                <c:pt idx="12">
                  <c:v>916.16</c:v>
                </c:pt>
                <c:pt idx="13">
                  <c:v>741.55000000000018</c:v>
                </c:pt>
                <c:pt idx="14">
                  <c:v>862.23</c:v>
                </c:pt>
                <c:pt idx="15">
                  <c:v>768.34</c:v>
                </c:pt>
                <c:pt idx="16">
                  <c:v>628.26</c:v>
                </c:pt>
                <c:pt idx="17">
                  <c:v>853.20000000000016</c:v>
                </c:pt>
                <c:pt idx="18">
                  <c:v>1336.4599999999998</c:v>
                </c:pt>
                <c:pt idx="19">
                  <c:v>957.22</c:v>
                </c:pt>
                <c:pt idx="20">
                  <c:v>265.35999999999996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80-447E-966F-271F260406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80624"/>
        <c:axId val="-30061040"/>
      </c:barChart>
      <c:lineChart>
        <c:grouping val="standard"/>
        <c:varyColors val="0"/>
        <c:ser>
          <c:idx val="2"/>
          <c:order val="2"/>
          <c:tx>
            <c:v>% C. VALENCIANA</c:v>
          </c:tx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'NAR-EDAD'!$B$44:$W$44</c15:sqref>
                  </c15:fullRef>
                </c:ext>
              </c:extLst>
              <c:f>'NAR-EDAD'!$C$44:$W$44</c:f>
              <c:numCache>
                <c:formatCode>0%</c:formatCode>
                <c:ptCount val="21"/>
                <c:pt idx="0">
                  <c:v>9.6203490598276542E-2</c:v>
                </c:pt>
                <c:pt idx="1">
                  <c:v>2.0155549425438801E-2</c:v>
                </c:pt>
                <c:pt idx="2">
                  <c:v>2.2970508191254152E-2</c:v>
                </c:pt>
                <c:pt idx="3">
                  <c:v>2.0920327238441873E-2</c:v>
                </c:pt>
                <c:pt idx="4">
                  <c:v>3.7852075707856946E-2</c:v>
                </c:pt>
                <c:pt idx="5">
                  <c:v>4.2496737085239274E-2</c:v>
                </c:pt>
                <c:pt idx="6">
                  <c:v>1.9831110708536277E-2</c:v>
                </c:pt>
                <c:pt idx="7">
                  <c:v>1.9918807975922364E-2</c:v>
                </c:pt>
                <c:pt idx="8">
                  <c:v>2.3936825029541219E-2</c:v>
                </c:pt>
                <c:pt idx="9">
                  <c:v>2.4272586163594519E-2</c:v>
                </c:pt>
                <c:pt idx="10">
                  <c:v>4.0216196408941009E-2</c:v>
                </c:pt>
                <c:pt idx="11">
                  <c:v>1.5798477443686416E-2</c:v>
                </c:pt>
                <c:pt idx="12">
                  <c:v>1.8860264903388903E-2</c:v>
                </c:pt>
                <c:pt idx="13">
                  <c:v>1.5265706251209444E-2</c:v>
                </c:pt>
                <c:pt idx="14">
                  <c:v>1.7750050436221854E-2</c:v>
                </c:pt>
                <c:pt idx="15">
                  <c:v>1.5817210897517715E-2</c:v>
                </c:pt>
                <c:pt idx="16">
                  <c:v>1.2933494180277585E-2</c:v>
                </c:pt>
                <c:pt idx="17">
                  <c:v>1.7564156932818958E-2</c:v>
                </c:pt>
                <c:pt idx="18">
                  <c:v>2.7512650227889377E-2</c:v>
                </c:pt>
                <c:pt idx="19">
                  <c:v>1.9705534809227567E-2</c:v>
                </c:pt>
                <c:pt idx="20">
                  <c:v>5.4627574820591152E-3</c:v>
                </c:pt>
              </c:numCache>
            </c:numRef>
          </c:val>
          <c:smooth val="0"/>
        </c:ser>
        <c:ser>
          <c:idx val="3"/>
          <c:order val="3"/>
          <c:tx>
            <c:v>% ANDALUCÍA</c:v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13</c:v>
              </c:pt>
              <c:pt idx="12">
                <c:v>14</c:v>
              </c:pt>
              <c:pt idx="13">
                <c:v>15</c:v>
              </c:pt>
              <c:pt idx="14">
                <c:v>16</c:v>
              </c:pt>
              <c:pt idx="15">
                <c:v>17</c:v>
              </c:pt>
              <c:pt idx="16">
                <c:v>18</c:v>
              </c:pt>
              <c:pt idx="17">
                <c:v>19</c:v>
              </c:pt>
              <c:pt idx="18">
                <c:v>20</c:v>
              </c:pt>
              <c:pt idx="19">
                <c:v>21</c:v>
              </c:pt>
              <c:pt idx="20">
                <c:v>22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'NAR-EDAD'!$B$42:$W$42</c15:sqref>
                  </c15:fullRef>
                </c:ext>
              </c:extLst>
              <c:f>'NAR-EDAD'!$C$42:$W$42</c:f>
              <c:numCache>
                <c:formatCode>0%</c:formatCode>
                <c:ptCount val="21"/>
                <c:pt idx="0">
                  <c:v>6.805528387149945E-2</c:v>
                </c:pt>
                <c:pt idx="1">
                  <c:v>2.0660852572701831E-2</c:v>
                </c:pt>
                <c:pt idx="2">
                  <c:v>2.638246914634498E-2</c:v>
                </c:pt>
                <c:pt idx="3">
                  <c:v>3.3039451172831115E-2</c:v>
                </c:pt>
                <c:pt idx="4">
                  <c:v>5.1859758731318761E-2</c:v>
                </c:pt>
                <c:pt idx="5">
                  <c:v>6.9821952888164257E-2</c:v>
                </c:pt>
                <c:pt idx="6">
                  <c:v>7.8589564220980596E-2</c:v>
                </c:pt>
                <c:pt idx="7">
                  <c:v>4.6299001184597649E-2</c:v>
                </c:pt>
                <c:pt idx="8">
                  <c:v>3.5097652351868208E-2</c:v>
                </c:pt>
                <c:pt idx="9">
                  <c:v>3.0392625110094107E-2</c:v>
                </c:pt>
                <c:pt idx="10">
                  <c:v>2.8289939459414371E-2</c:v>
                </c:pt>
                <c:pt idx="11">
                  <c:v>1.7620616963875235E-2</c:v>
                </c:pt>
                <c:pt idx="12">
                  <c:v>1.3689500373848295E-2</c:v>
                </c:pt>
                <c:pt idx="13">
                  <c:v>1.9849209556614931E-2</c:v>
                </c:pt>
                <c:pt idx="14">
                  <c:v>1.1988962290473672E-2</c:v>
                </c:pt>
                <c:pt idx="15">
                  <c:v>1.4513853238975943E-2</c:v>
                </c:pt>
                <c:pt idx="16">
                  <c:v>1.8852876546654584E-2</c:v>
                </c:pt>
                <c:pt idx="17">
                  <c:v>2.2675562237052586E-2</c:v>
                </c:pt>
                <c:pt idx="18">
                  <c:v>4.8002518138841203E-2</c:v>
                </c:pt>
                <c:pt idx="19">
                  <c:v>3.5924189722299729E-2</c:v>
                </c:pt>
                <c:pt idx="20">
                  <c:v>1.9730849087422911E-2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68656"/>
        <c:axId val="-30079536"/>
      </c:lineChart>
      <c:catAx>
        <c:axId val="-30080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1040"/>
        <c:crosses val="autoZero"/>
        <c:auto val="1"/>
        <c:lblAlgn val="ctr"/>
        <c:lblOffset val="100"/>
        <c:noMultiLvlLbl val="0"/>
      </c:catAx>
      <c:valAx>
        <c:axId val="-3006104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0624"/>
        <c:crosses val="autoZero"/>
        <c:crossBetween val="between"/>
      </c:valAx>
      <c:valAx>
        <c:axId val="-30079536"/>
        <c:scaling>
          <c:orientation val="minMax"/>
          <c:max val="0.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8656"/>
        <c:crosses val="max"/>
        <c:crossBetween val="between"/>
      </c:valAx>
      <c:catAx>
        <c:axId val="-30068656"/>
        <c:scaling>
          <c:orientation val="minMax"/>
        </c:scaling>
        <c:delete val="1"/>
        <c:axPos val="b"/>
        <c:majorTickMark val="out"/>
        <c:minorTickMark val="none"/>
        <c:tickLblPos val="nextTo"/>
        <c:crossAx val="-30079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Sin info de edad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4E8-41F1-A9E9-385703A399E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'PC-EDAD'!$A$38:$A$47</c15:sqref>
                  </c15:fullRef>
                </c:ext>
              </c:extLst>
              <c:f>('PC-EDAD'!$A$38:$A$39,'PC-EDAD'!$A$42,'PC-EDAD'!$A$46:$A$47)</c:f>
              <c:strCache>
                <c:ptCount val="5"/>
                <c:pt idx="0">
                  <c:v>ANDALUCIA</c:v>
                </c:pt>
                <c:pt idx="1">
                  <c:v>C. VALENCIANA</c:v>
                </c:pt>
                <c:pt idx="2">
                  <c:v>CATALUÑA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'PC-EDAD'!$X$38:$X$47</c15:sqref>
                  </c15:fullRef>
                </c:ext>
              </c:extLst>
              <c:f>('PC-EDAD'!$X$38:$X$39,'PC-EDAD'!$X$42,'PC-EDAD'!$X$46:$X$47)</c:f>
              <c:numCache>
                <c:formatCode>0.0%</c:formatCode>
                <c:ptCount val="5"/>
                <c:pt idx="0">
                  <c:v>6.5215677053103891E-4</c:v>
                </c:pt>
                <c:pt idx="1">
                  <c:v>3.2975109038071923E-3</c:v>
                </c:pt>
                <c:pt idx="2" formatCode="0.000%">
                  <c:v>2.6747130952281459E-5</c:v>
                </c:pt>
                <c:pt idx="3">
                  <c:v>1.2167656655232994E-2</c:v>
                </c:pt>
                <c:pt idx="4">
                  <c:v>3.460570323764301E-3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FFB-433E-8943-22CEFDB90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0075184"/>
        <c:axId val="-30065392"/>
      </c:barChart>
      <c:catAx>
        <c:axId val="-300751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5392"/>
        <c:crosses val="autoZero"/>
        <c:auto val="1"/>
        <c:lblAlgn val="ctr"/>
        <c:lblOffset val="100"/>
        <c:noMultiLvlLbl val="0"/>
      </c:catAx>
      <c:valAx>
        <c:axId val="-30065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5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Pequeños cítricos:</a:t>
            </a:r>
            <a:r>
              <a:rPr lang="es-ES" baseline="0"/>
              <a:t> </a:t>
            </a:r>
            <a:r>
              <a:rPr lang="es-ES"/>
              <a:t>ESPAÑA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'PC-EDAD'!$B$33:$W$33</c:f>
              <c:numCache>
                <c:formatCode>#,##0</c:formatCode>
                <c:ptCount val="22"/>
                <c:pt idx="0">
                  <c:v>28649.28999999999</c:v>
                </c:pt>
                <c:pt idx="1">
                  <c:v>8148.5899999999983</c:v>
                </c:pt>
                <c:pt idx="2">
                  <c:v>2499.3200000000002</c:v>
                </c:pt>
                <c:pt idx="3">
                  <c:v>2875.9799999999996</c:v>
                </c:pt>
                <c:pt idx="4">
                  <c:v>2573.5099999999993</c:v>
                </c:pt>
                <c:pt idx="5">
                  <c:v>3856.29</c:v>
                </c:pt>
                <c:pt idx="6">
                  <c:v>3048.75</c:v>
                </c:pt>
                <c:pt idx="7">
                  <c:v>1391.82</c:v>
                </c:pt>
                <c:pt idx="8">
                  <c:v>1500.42</c:v>
                </c:pt>
                <c:pt idx="9">
                  <c:v>1492.8999999999999</c:v>
                </c:pt>
                <c:pt idx="10">
                  <c:v>1424.6400000000003</c:v>
                </c:pt>
                <c:pt idx="11">
                  <c:v>2600.7199999999998</c:v>
                </c:pt>
                <c:pt idx="12">
                  <c:v>1466.02</c:v>
                </c:pt>
                <c:pt idx="13">
                  <c:v>2004.96</c:v>
                </c:pt>
                <c:pt idx="14">
                  <c:v>1960.1799999999996</c:v>
                </c:pt>
                <c:pt idx="15">
                  <c:v>2577.54</c:v>
                </c:pt>
                <c:pt idx="16">
                  <c:v>3425.57</c:v>
                </c:pt>
                <c:pt idx="17">
                  <c:v>2244.9299999999998</c:v>
                </c:pt>
                <c:pt idx="18">
                  <c:v>1705.47</c:v>
                </c:pt>
                <c:pt idx="19">
                  <c:v>1629.3700000000001</c:v>
                </c:pt>
                <c:pt idx="20">
                  <c:v>1109.9899999999998</c:v>
                </c:pt>
                <c:pt idx="21">
                  <c:v>530.26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2A-4008-A640-BAF06DD01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3008"/>
        <c:axId val="-30071376"/>
      </c:barChart>
      <c:catAx>
        <c:axId val="-3007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1376"/>
        <c:crosses val="autoZero"/>
        <c:auto val="1"/>
        <c:lblAlgn val="ctr"/>
        <c:lblOffset val="100"/>
        <c:noMultiLvlLbl val="0"/>
      </c:catAx>
      <c:valAx>
        <c:axId val="-30071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3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'PC-EDAD'!$B$4:$W$4</c:f>
              <c:numCache>
                <c:formatCode>#,##0</c:formatCode>
                <c:ptCount val="22"/>
                <c:pt idx="0">
                  <c:v>3157.3800000000006</c:v>
                </c:pt>
                <c:pt idx="1">
                  <c:v>771.63</c:v>
                </c:pt>
                <c:pt idx="2">
                  <c:v>469.26</c:v>
                </c:pt>
                <c:pt idx="3">
                  <c:v>661.79000000000019</c:v>
                </c:pt>
                <c:pt idx="4">
                  <c:v>414.08</c:v>
                </c:pt>
                <c:pt idx="5">
                  <c:v>923.12000000000012</c:v>
                </c:pt>
                <c:pt idx="6">
                  <c:v>526.08999999999992</c:v>
                </c:pt>
                <c:pt idx="7">
                  <c:v>376.4</c:v>
                </c:pt>
                <c:pt idx="8">
                  <c:v>395.06</c:v>
                </c:pt>
                <c:pt idx="9">
                  <c:v>494.49</c:v>
                </c:pt>
                <c:pt idx="10">
                  <c:v>277.34000000000003</c:v>
                </c:pt>
                <c:pt idx="11">
                  <c:v>660.36999999999978</c:v>
                </c:pt>
                <c:pt idx="12">
                  <c:v>316.69</c:v>
                </c:pt>
                <c:pt idx="13">
                  <c:v>487.70999999999992</c:v>
                </c:pt>
                <c:pt idx="14">
                  <c:v>388.71</c:v>
                </c:pt>
                <c:pt idx="15">
                  <c:v>584.37</c:v>
                </c:pt>
                <c:pt idx="16">
                  <c:v>1125.92</c:v>
                </c:pt>
                <c:pt idx="17">
                  <c:v>661.01</c:v>
                </c:pt>
                <c:pt idx="18">
                  <c:v>462.03999999999996</c:v>
                </c:pt>
                <c:pt idx="19">
                  <c:v>377.42999999999995</c:v>
                </c:pt>
                <c:pt idx="20">
                  <c:v>379.70000000000005</c:v>
                </c:pt>
                <c:pt idx="21">
                  <c:v>156.6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'PC-EDAD'!$B$12:$W$12</c:f>
              <c:numCache>
                <c:formatCode>#,##0</c:formatCode>
                <c:ptCount val="22"/>
                <c:pt idx="0">
                  <c:v>22435.159999999993</c:v>
                </c:pt>
                <c:pt idx="1">
                  <c:v>6085.0299999999988</c:v>
                </c:pt>
                <c:pt idx="2">
                  <c:v>1465.96</c:v>
                </c:pt>
                <c:pt idx="3">
                  <c:v>1596.6300000000003</c:v>
                </c:pt>
                <c:pt idx="4">
                  <c:v>1495.1399999999999</c:v>
                </c:pt>
                <c:pt idx="5">
                  <c:v>2362.66</c:v>
                </c:pt>
                <c:pt idx="6">
                  <c:v>2022.9600000000003</c:v>
                </c:pt>
                <c:pt idx="7">
                  <c:v>724.66</c:v>
                </c:pt>
                <c:pt idx="8">
                  <c:v>986.18000000000006</c:v>
                </c:pt>
                <c:pt idx="9">
                  <c:v>811.38</c:v>
                </c:pt>
                <c:pt idx="10">
                  <c:v>974.72</c:v>
                </c:pt>
                <c:pt idx="11">
                  <c:v>1520.87</c:v>
                </c:pt>
                <c:pt idx="12">
                  <c:v>803.83999999999992</c:v>
                </c:pt>
                <c:pt idx="13">
                  <c:v>1203.5400000000002</c:v>
                </c:pt>
                <c:pt idx="14">
                  <c:v>1174.53</c:v>
                </c:pt>
                <c:pt idx="15">
                  <c:v>1426.3000000000002</c:v>
                </c:pt>
                <c:pt idx="16">
                  <c:v>1755.7000000000003</c:v>
                </c:pt>
                <c:pt idx="17">
                  <c:v>1066.1399999999999</c:v>
                </c:pt>
                <c:pt idx="18">
                  <c:v>986.10000000000014</c:v>
                </c:pt>
                <c:pt idx="19">
                  <c:v>933.09999999999991</c:v>
                </c:pt>
                <c:pt idx="20">
                  <c:v>580.69000000000005</c:v>
                </c:pt>
                <c:pt idx="21">
                  <c:v>317.80000000000007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'PC-EDAD'!$A$20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'PC-EDAD'!$B$3:$W$3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'PC-EDAD'!$B$20:$W$20</c:f>
              <c:numCache>
                <c:formatCode>#,##0</c:formatCode>
                <c:ptCount val="22"/>
                <c:pt idx="0">
                  <c:v>2370.3799999999983</c:v>
                </c:pt>
                <c:pt idx="1">
                  <c:v>918.33000000000015</c:v>
                </c:pt>
                <c:pt idx="2">
                  <c:v>319.94</c:v>
                </c:pt>
                <c:pt idx="3">
                  <c:v>432.22999999999996</c:v>
                </c:pt>
                <c:pt idx="4">
                  <c:v>350.34999999999997</c:v>
                </c:pt>
                <c:pt idx="5">
                  <c:v>283.53000000000003</c:v>
                </c:pt>
                <c:pt idx="6">
                  <c:v>269.48</c:v>
                </c:pt>
                <c:pt idx="7">
                  <c:v>98.670000000000016</c:v>
                </c:pt>
                <c:pt idx="8">
                  <c:v>47.460000000000015</c:v>
                </c:pt>
                <c:pt idx="9">
                  <c:v>58.489999999999995</c:v>
                </c:pt>
                <c:pt idx="10">
                  <c:v>45.84</c:v>
                </c:pt>
                <c:pt idx="11">
                  <c:v>150.49999999999997</c:v>
                </c:pt>
                <c:pt idx="12">
                  <c:v>38.11</c:v>
                </c:pt>
                <c:pt idx="13">
                  <c:v>40.110000000000007</c:v>
                </c:pt>
                <c:pt idx="14">
                  <c:v>54.11999999999999</c:v>
                </c:pt>
                <c:pt idx="15">
                  <c:v>79.469999999999985</c:v>
                </c:pt>
                <c:pt idx="16">
                  <c:v>65.88000000000001</c:v>
                </c:pt>
                <c:pt idx="17">
                  <c:v>165.19</c:v>
                </c:pt>
                <c:pt idx="18">
                  <c:v>65.44</c:v>
                </c:pt>
                <c:pt idx="19">
                  <c:v>47.45</c:v>
                </c:pt>
                <c:pt idx="20">
                  <c:v>54.29999999999999</c:v>
                </c:pt>
                <c:pt idx="21">
                  <c:v>26.520000000000003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2464"/>
        <c:axId val="-30074640"/>
      </c:barChart>
      <c:catAx>
        <c:axId val="-3007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4640"/>
        <c:crosses val="autoZero"/>
        <c:auto val="1"/>
        <c:lblAlgn val="ctr"/>
        <c:lblOffset val="100"/>
        <c:noMultiLvlLbl val="0"/>
      </c:catAx>
      <c:valAx>
        <c:axId val="-30074640"/>
        <c:scaling>
          <c:orientation val="minMax"/>
          <c:max val="2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Andalucía y C. Valenciana 
% según año plantación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'PC-EDAD'!$A$38</c:f>
              <c:strCache>
                <c:ptCount val="1"/>
                <c:pt idx="0">
                  <c:v>ANDALUCIA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'PC-EDAD'!$B$38:$W$38</c15:sqref>
                  </c15:fullRef>
                </c:ext>
              </c:extLst>
              <c:f>'PC-EDAD'!$C$38:$W$38</c:f>
              <c:numCache>
                <c:formatCode>0%</c:formatCode>
                <c:ptCount val="21"/>
                <c:pt idx="0">
                  <c:v>5.4817399656303438E-2</c:v>
                </c:pt>
                <c:pt idx="1">
                  <c:v>3.3336719623027811E-2</c:v>
                </c:pt>
                <c:pt idx="2">
                  <c:v>4.7014251543544272E-2</c:v>
                </c:pt>
                <c:pt idx="3">
                  <c:v>2.9416674895587427E-2</c:v>
                </c:pt>
                <c:pt idx="4">
                  <c:v>6.5579407190916428E-2</c:v>
                </c:pt>
                <c:pt idx="5">
                  <c:v>3.7373982070661678E-2</c:v>
                </c:pt>
                <c:pt idx="6">
                  <c:v>2.6739848412623425E-2</c:v>
                </c:pt>
                <c:pt idx="7">
                  <c:v>2.8065474266447957E-2</c:v>
                </c:pt>
                <c:pt idx="8">
                  <c:v>3.5129085126350053E-2</c:v>
                </c:pt>
                <c:pt idx="9">
                  <c:v>1.9702522738461695E-2</c:v>
                </c:pt>
                <c:pt idx="10">
                  <c:v>4.69133732631353E-2</c:v>
                </c:pt>
                <c:pt idx="11">
                  <c:v>2.2497987762470015E-2</c:v>
                </c:pt>
                <c:pt idx="12">
                  <c:v>3.464742685791862E-2</c:v>
                </c:pt>
                <c:pt idx="13">
                  <c:v>2.7614363646309384E-2</c:v>
                </c:pt>
                <c:pt idx="14">
                  <c:v>4.1514254029980747E-2</c:v>
                </c:pt>
                <c:pt idx="15">
                  <c:v>7.9986530618334148E-2</c:v>
                </c:pt>
                <c:pt idx="16">
                  <c:v>4.6958839530361882E-2</c:v>
                </c:pt>
                <c:pt idx="17">
                  <c:v>3.2823803295878126E-2</c:v>
                </c:pt>
                <c:pt idx="18">
                  <c:v>2.6813020686441175E-2</c:v>
                </c:pt>
                <c:pt idx="19">
                  <c:v>2.6974283853010404E-2</c:v>
                </c:pt>
                <c:pt idx="20">
                  <c:v>1.1125027262000075E-2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ser>
          <c:idx val="1"/>
          <c:order val="1"/>
          <c:tx>
            <c:strRef>
              <c:f>'PC-EDAD'!$A$39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'PC-EDAD'!$B$39:$W$39</c15:sqref>
                  </c15:fullRef>
                </c:ext>
              </c:extLst>
              <c:f>'PC-EDAD'!$C$39:$W$39</c:f>
              <c:numCache>
                <c:formatCode>0%</c:formatCode>
                <c:ptCount val="21"/>
                <c:pt idx="0">
                  <c:v>0.11502122542272214</c:v>
                </c:pt>
                <c:pt idx="1">
                  <c:v>2.7710054941502967E-2</c:v>
                </c:pt>
                <c:pt idx="2">
                  <c:v>3.0180021979625563E-2</c:v>
                </c:pt>
                <c:pt idx="3">
                  <c:v>2.8261624836447612E-2</c:v>
                </c:pt>
                <c:pt idx="4">
                  <c:v>4.4659771349894531E-2</c:v>
                </c:pt>
                <c:pt idx="5">
                  <c:v>3.8238650948499854E-2</c:v>
                </c:pt>
                <c:pt idx="6">
                  <c:v>1.3697760112083235E-2</c:v>
                </c:pt>
                <c:pt idx="7">
                  <c:v>1.8641096607145757E-2</c:v>
                </c:pt>
                <c:pt idx="8">
                  <c:v>1.533696988897151E-2</c:v>
                </c:pt>
                <c:pt idx="9">
                  <c:v>1.8424475942441655E-2</c:v>
                </c:pt>
                <c:pt idx="10">
                  <c:v>2.8747981704059872E-2</c:v>
                </c:pt>
                <c:pt idx="11">
                  <c:v>1.5194446345178409E-2</c:v>
                </c:pt>
                <c:pt idx="12">
                  <c:v>2.2749706352353738E-2</c:v>
                </c:pt>
                <c:pt idx="13">
                  <c:v>2.2201349852958796E-2</c:v>
                </c:pt>
                <c:pt idx="14">
                  <c:v>2.6960388662081971E-2</c:v>
                </c:pt>
                <c:pt idx="15">
                  <c:v>3.3186815097817651E-2</c:v>
                </c:pt>
                <c:pt idx="16">
                  <c:v>2.015252665511608E-2</c:v>
                </c:pt>
                <c:pt idx="17">
                  <c:v>1.8639584421004718E-2</c:v>
                </c:pt>
                <c:pt idx="18">
                  <c:v>1.7637761102565156E-2</c:v>
                </c:pt>
                <c:pt idx="19">
                  <c:v>1.0976392128012605E-2</c:v>
                </c:pt>
                <c:pt idx="20">
                  <c:v>6.0071594452847585E-3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64304"/>
        <c:axId val="-30074096"/>
      </c:barChart>
      <c:catAx>
        <c:axId val="-3006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4096"/>
        <c:crosses val="autoZero"/>
        <c:auto val="1"/>
        <c:lblAlgn val="ctr"/>
        <c:lblOffset val="100"/>
        <c:noMultiLvlLbl val="0"/>
      </c:catAx>
      <c:valAx>
        <c:axId val="-3007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/>
              <a:t>Naranjo: RSU REGEPA 2019-2020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RSU REGEPA 2019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('NAR-REPR'!$A$8,'NAR-REPR'!$A$17,'NAR-REPR'!$A$19,'NAR-REPR'!$A$23,'NAR-REPR'!$A$25,'NAR-REPR'!$A$27,'NAR-REPR'!$A$31,'NAR-REPR'!$A$34,'NAR-REPR'!$A$39,'NAR-REPR'!$A$41,'NAR-REPR'!$A$44,'NAR-REPR'!$A$46,'NAR-REPR'!$A$48)</c15:sqref>
                  </c15:fullRef>
                </c:ext>
              </c:extLst>
              <c:f>('NAR-REPR'!$A$8,'NAR-REPR'!$A$19,'NAR-REPR'!$A$27,'NAR-REPR'!$A$39,'NAR-REPR'!$A$44)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('NAR-REPR'!$B$8,'NAR-REPR'!$B$17,'NAR-REPR'!$B$19,'NAR-REPR'!$B$23,'NAR-REPR'!$B$25,'NAR-REPR'!$B$27,'NAR-REPR'!$B$31,'NAR-REPR'!$B$34,'NAR-REPR'!$B$39,'NAR-REPR'!$B$41,'NAR-REPR'!$B$44,'NAR-REPR'!$B$46,'NAR-REPR'!$B$48)</c15:sqref>
                  </c15:fullRef>
                </c:ext>
              </c:extLst>
              <c:f>('NAR-REPR'!$B$8,'NAR-REPR'!$B$19,'NAR-REPR'!$B$27,'NAR-REPR'!$B$39,'NAR-REPR'!$B$44)</c:f>
              <c:numCache>
                <c:formatCode>#,##0</c:formatCode>
                <c:ptCount val="5"/>
                <c:pt idx="0">
                  <c:v>49993.889999999992</c:v>
                </c:pt>
                <c:pt idx="1">
                  <c:v>48394.59</c:v>
                </c:pt>
                <c:pt idx="2">
                  <c:v>1918.9799999999998</c:v>
                </c:pt>
                <c:pt idx="3">
                  <c:v>726.90999999999985</c:v>
                </c:pt>
                <c:pt idx="4">
                  <c:v>5600.8600000000024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96-4C72-9F41-B14425AE8B18}"/>
            </c:ext>
          </c:extLst>
        </c:ser>
        <c:ser>
          <c:idx val="1"/>
          <c:order val="1"/>
          <c:tx>
            <c:v>RSU REGEPA 2020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692CB22-2A53-4434-86FE-DC737DC3E49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496-4C72-9F41-B14425AE8B18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61DFEDD-AD8C-4326-AB75-869E79AA6B0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E30BD08-3D8E-47DA-AAD3-A50C07F44EA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37B20A-13AC-4FC4-BFB5-FBA2D986757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E6FC129-F42B-4963-92FF-833D0156E4C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('NAR-REPR'!$A$8,'NAR-REPR'!$A$17,'NAR-REPR'!$A$19,'NAR-REPR'!$A$23,'NAR-REPR'!$A$25,'NAR-REPR'!$A$27,'NAR-REPR'!$A$31,'NAR-REPR'!$A$34,'NAR-REPR'!$A$39,'NAR-REPR'!$A$41,'NAR-REPR'!$A$44,'NAR-REPR'!$A$46,'NAR-REPR'!$A$48)</c15:sqref>
                  </c15:fullRef>
                </c:ext>
              </c:extLst>
              <c:f>('NAR-REPR'!$A$8,'NAR-REPR'!$A$19,'NAR-REPR'!$A$27,'NAR-REPR'!$A$39,'NAR-REPR'!$A$44)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('NAR-REPR'!$C$8,'NAR-REPR'!$C$17,'NAR-REPR'!$C$19,'NAR-REPR'!$C$23,'NAR-REPR'!$C$25,'NAR-REPR'!$C$27,'NAR-REPR'!$C$31,'NAR-REPR'!$C$34,'NAR-REPR'!$C$39,'NAR-REPR'!$C$41,'NAR-REPR'!$C$44,'NAR-REPR'!$C$46,'NAR-REPR'!$C$48)</c15:sqref>
                  </c15:fullRef>
                </c:ext>
              </c:extLst>
              <c:f>('NAR-REPR'!$C$8,'NAR-REPR'!$C$19,'NAR-REPR'!$C$27,'NAR-REPR'!$C$39,'NAR-REPR'!$C$44)</c:f>
              <c:numCache>
                <c:formatCode>#,##0</c:formatCode>
                <c:ptCount val="5"/>
                <c:pt idx="0">
                  <c:v>50354.649999999994</c:v>
                </c:pt>
                <c:pt idx="1">
                  <c:v>48576.2</c:v>
                </c:pt>
                <c:pt idx="2">
                  <c:v>1918.6299999999981</c:v>
                </c:pt>
                <c:pt idx="3">
                  <c:v>704.70999999999992</c:v>
                </c:pt>
                <c:pt idx="4">
                  <c:v>5401.0300000000007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496-4C72-9F41-B14425AE8B18}"/>
            </c:ext>
            <c:ext xmlns:c15="http://schemas.microsoft.com/office/drawing/2012/chart" uri="{02D57815-91ED-43cb-92C2-25804820EDAC}">
              <c15:datalabelsRange>
                <c15:f>('NAR-REPR'!$I$8,'NAR-REPR'!$I$17,'NAR-REPR'!$I$19,'NAR-REPR'!$I$23,'NAR-REPR'!$I$25,'NAR-REPR'!$I$27,'NAR-REPR'!$I$31,'NAR-REPR'!$I$34,'NAR-REPR'!$I$39,'NAR-REPR'!$I$41,'NAR-REPR'!$I$44,'NAR-REPR'!$I$46)</c15:f>
                <c15:dlblRangeCache>
                  <c:ptCount val="12"/>
                  <c:pt idx="0">
                    <c:v>0,7%</c:v>
                  </c:pt>
                  <c:pt idx="2">
                    <c:v>0,4%</c:v>
                  </c:pt>
                  <c:pt idx="4">
                    <c:v>-100,0%</c:v>
                  </c:pt>
                  <c:pt idx="5">
                    <c:v>-0,02%</c:v>
                  </c:pt>
                  <c:pt idx="6">
                    <c:v>39,6%</c:v>
                  </c:pt>
                  <c:pt idx="8">
                    <c:v>-3,1%</c:v>
                  </c:pt>
                  <c:pt idx="10">
                    <c:v>-3,6%</c:v>
                  </c:pt>
                  <c:pt idx="11">
                    <c:v>-100,0%</c:v>
                  </c:pt>
                </c15:dlblRangeCache>
              </c15:datalabelsRange>
            </c:ext>
            <c:ext xmlns:c15="http://schemas.microsoft.com/office/drawing/2012/chart" uri="{02D57815-91ED-43cb-92C2-25804820EDAC}">
              <c15:categoryFilterExceptions>
                <c15:categoryFilterException>
                  <c15:sqref>'NAR-REPR'!$C$25</c15:sqref>
                  <c15:dLbl>
                    <c:idx val="1"/>
                    <c:tx>
                      <c:rich>
                        <a:bodyPr/>
                        <a:lstStyle/>
                        <a:p>
                          <a:endParaRPr lang="es-E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1-A4D9-4075-8896-6B8F5A33B7D3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'NAR-REPR'!$C$46</c15:sqref>
                  <c15:dLbl>
                    <c:idx val="4"/>
                    <c:tx>
                      <c:rich>
                        <a:bodyPr/>
                        <a:lstStyle/>
                        <a:p>
                          <a:endParaRPr lang="es-ES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6r2="http://schemas.microsoft.com/office/drawing/2015/06/chart">
                      <c:ext xmlns:c16="http://schemas.microsoft.com/office/drawing/2014/chart" uri="{C3380CC4-5D6E-409C-BE32-E72D297353CC}">
                        <c16:uniqueId val="{00000002-A4D9-4075-8896-6B8F5A33B7D3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77245344"/>
        <c:axId val="-34396752"/>
        <c:axId val="0"/>
      </c:bar3DChart>
      <c:catAx>
        <c:axId val="-7724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6752"/>
        <c:crosses val="autoZero"/>
        <c:auto val="1"/>
        <c:lblAlgn val="ctr"/>
        <c:lblOffset val="100"/>
        <c:noMultiLvlLbl val="0"/>
      </c:catAx>
      <c:valAx>
        <c:axId val="-34396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7724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Pequeños cítricos:</a:t>
            </a:r>
            <a:r>
              <a:rPr lang="es-ES" baseline="0"/>
              <a:t> </a:t>
            </a:r>
            <a:r>
              <a:rPr lang="es-ES"/>
              <a:t>ESPAÑA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'PC-EDAD'!$A$33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'PC-EDAD'!$B$3:$W$3</c15:sqref>
                  </c15:fullRef>
                </c:ext>
              </c:extLst>
              <c:f>'PC-EDAD'!$C$3:$W$3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'PC-EDAD'!$B$33:$W$33</c15:sqref>
                  </c15:fullRef>
                </c:ext>
              </c:extLst>
              <c:f>'PC-EDAD'!$C$33:$W$33</c:f>
              <c:numCache>
                <c:formatCode>#,##0</c:formatCode>
                <c:ptCount val="21"/>
                <c:pt idx="0">
                  <c:v>8148.5899999999983</c:v>
                </c:pt>
                <c:pt idx="1">
                  <c:v>2499.3200000000002</c:v>
                </c:pt>
                <c:pt idx="2">
                  <c:v>2875.9799999999996</c:v>
                </c:pt>
                <c:pt idx="3">
                  <c:v>2573.5099999999993</c:v>
                </c:pt>
                <c:pt idx="4">
                  <c:v>3856.29</c:v>
                </c:pt>
                <c:pt idx="5">
                  <c:v>3048.75</c:v>
                </c:pt>
                <c:pt idx="6">
                  <c:v>1391.82</c:v>
                </c:pt>
                <c:pt idx="7">
                  <c:v>1500.42</c:v>
                </c:pt>
                <c:pt idx="8">
                  <c:v>1492.8999999999999</c:v>
                </c:pt>
                <c:pt idx="9">
                  <c:v>1424.6400000000003</c:v>
                </c:pt>
                <c:pt idx="10">
                  <c:v>2600.7199999999998</c:v>
                </c:pt>
                <c:pt idx="11">
                  <c:v>1466.02</c:v>
                </c:pt>
                <c:pt idx="12">
                  <c:v>2004.96</c:v>
                </c:pt>
                <c:pt idx="13">
                  <c:v>1960.1799999999996</c:v>
                </c:pt>
                <c:pt idx="14">
                  <c:v>2577.54</c:v>
                </c:pt>
                <c:pt idx="15">
                  <c:v>3425.57</c:v>
                </c:pt>
                <c:pt idx="16">
                  <c:v>2244.9299999999998</c:v>
                </c:pt>
                <c:pt idx="17">
                  <c:v>1705.47</c:v>
                </c:pt>
                <c:pt idx="18">
                  <c:v>1629.3700000000001</c:v>
                </c:pt>
                <c:pt idx="19">
                  <c:v>1109.9899999999998</c:v>
                </c:pt>
                <c:pt idx="20">
                  <c:v>530.26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2A-4008-A640-BAF06DD01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1920"/>
        <c:axId val="-30084976"/>
      </c:barChart>
      <c:catAx>
        <c:axId val="-3007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4976"/>
        <c:crosses val="autoZero"/>
        <c:auto val="1"/>
        <c:lblAlgn val="ctr"/>
        <c:lblOffset val="100"/>
        <c:noMultiLvlLbl val="0"/>
      </c:catAx>
      <c:valAx>
        <c:axId val="-3008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'PC-EDAD'!$B$3:$W$3</c15:sqref>
                  </c15:fullRef>
                </c:ext>
              </c:extLst>
              <c:f>'PC-EDAD'!$C$3:$W$3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'PC-EDAD'!$B$4:$W$4</c15:sqref>
                  </c15:fullRef>
                </c:ext>
              </c:extLst>
              <c:f>'PC-EDAD'!$C$4:$W$4</c:f>
              <c:numCache>
                <c:formatCode>#,##0</c:formatCode>
                <c:ptCount val="21"/>
                <c:pt idx="0">
                  <c:v>771.63</c:v>
                </c:pt>
                <c:pt idx="1">
                  <c:v>469.26</c:v>
                </c:pt>
                <c:pt idx="2">
                  <c:v>661.79000000000019</c:v>
                </c:pt>
                <c:pt idx="3">
                  <c:v>414.08</c:v>
                </c:pt>
                <c:pt idx="4">
                  <c:v>923.12000000000012</c:v>
                </c:pt>
                <c:pt idx="5">
                  <c:v>526.08999999999992</c:v>
                </c:pt>
                <c:pt idx="6">
                  <c:v>376.4</c:v>
                </c:pt>
                <c:pt idx="7">
                  <c:v>395.06</c:v>
                </c:pt>
                <c:pt idx="8">
                  <c:v>494.49</c:v>
                </c:pt>
                <c:pt idx="9">
                  <c:v>277.34000000000003</c:v>
                </c:pt>
                <c:pt idx="10">
                  <c:v>660.36999999999978</c:v>
                </c:pt>
                <c:pt idx="11">
                  <c:v>316.69</c:v>
                </c:pt>
                <c:pt idx="12">
                  <c:v>487.70999999999992</c:v>
                </c:pt>
                <c:pt idx="13">
                  <c:v>388.71</c:v>
                </c:pt>
                <c:pt idx="14">
                  <c:v>584.37</c:v>
                </c:pt>
                <c:pt idx="15">
                  <c:v>1125.92</c:v>
                </c:pt>
                <c:pt idx="16">
                  <c:v>661.01</c:v>
                </c:pt>
                <c:pt idx="17">
                  <c:v>462.03999999999996</c:v>
                </c:pt>
                <c:pt idx="18">
                  <c:v>377.42999999999995</c:v>
                </c:pt>
                <c:pt idx="19">
                  <c:v>379.70000000000005</c:v>
                </c:pt>
                <c:pt idx="20">
                  <c:v>156.6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'PC-EDAD'!$B$3:$W$3</c15:sqref>
                  </c15:fullRef>
                </c:ext>
              </c:extLst>
              <c:f>'PC-EDAD'!$C$3:$W$3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'PC-EDAD'!$B$12:$W$12</c15:sqref>
                  </c15:fullRef>
                </c:ext>
              </c:extLst>
              <c:f>'PC-EDAD'!$C$12:$W$12</c:f>
              <c:numCache>
                <c:formatCode>#,##0</c:formatCode>
                <c:ptCount val="21"/>
                <c:pt idx="0">
                  <c:v>6085.0299999999988</c:v>
                </c:pt>
                <c:pt idx="1">
                  <c:v>1465.96</c:v>
                </c:pt>
                <c:pt idx="2">
                  <c:v>1596.6300000000003</c:v>
                </c:pt>
                <c:pt idx="3">
                  <c:v>1495.1399999999999</c:v>
                </c:pt>
                <c:pt idx="4">
                  <c:v>2362.66</c:v>
                </c:pt>
                <c:pt idx="5">
                  <c:v>2022.9600000000003</c:v>
                </c:pt>
                <c:pt idx="6">
                  <c:v>724.66</c:v>
                </c:pt>
                <c:pt idx="7">
                  <c:v>986.18000000000006</c:v>
                </c:pt>
                <c:pt idx="8">
                  <c:v>811.38</c:v>
                </c:pt>
                <c:pt idx="9">
                  <c:v>974.72</c:v>
                </c:pt>
                <c:pt idx="10">
                  <c:v>1520.87</c:v>
                </c:pt>
                <c:pt idx="11">
                  <c:v>803.83999999999992</c:v>
                </c:pt>
                <c:pt idx="12">
                  <c:v>1203.5400000000002</c:v>
                </c:pt>
                <c:pt idx="13">
                  <c:v>1174.53</c:v>
                </c:pt>
                <c:pt idx="14">
                  <c:v>1426.3000000000002</c:v>
                </c:pt>
                <c:pt idx="15">
                  <c:v>1755.7000000000003</c:v>
                </c:pt>
                <c:pt idx="16">
                  <c:v>1066.1399999999999</c:v>
                </c:pt>
                <c:pt idx="17">
                  <c:v>986.10000000000014</c:v>
                </c:pt>
                <c:pt idx="18">
                  <c:v>933.09999999999991</c:v>
                </c:pt>
                <c:pt idx="19">
                  <c:v>580.69000000000005</c:v>
                </c:pt>
                <c:pt idx="20">
                  <c:v>317.80000000000007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'PC-EDAD'!$A$20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'PC-EDAD'!$B$3:$W$3</c15:sqref>
                  </c15:fullRef>
                </c:ext>
              </c:extLst>
              <c:f>'PC-EDAD'!$C$3:$W$3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'PC-EDAD'!$B$20:$W$20</c15:sqref>
                  </c15:fullRef>
                </c:ext>
              </c:extLst>
              <c:f>'PC-EDAD'!$C$20:$W$20</c:f>
              <c:numCache>
                <c:formatCode>#,##0</c:formatCode>
                <c:ptCount val="21"/>
                <c:pt idx="0">
                  <c:v>918.33000000000015</c:v>
                </c:pt>
                <c:pt idx="1">
                  <c:v>319.94</c:v>
                </c:pt>
                <c:pt idx="2">
                  <c:v>432.22999999999996</c:v>
                </c:pt>
                <c:pt idx="3">
                  <c:v>350.34999999999997</c:v>
                </c:pt>
                <c:pt idx="4">
                  <c:v>283.53000000000003</c:v>
                </c:pt>
                <c:pt idx="5">
                  <c:v>269.48</c:v>
                </c:pt>
                <c:pt idx="6">
                  <c:v>98.670000000000016</c:v>
                </c:pt>
                <c:pt idx="7">
                  <c:v>47.460000000000015</c:v>
                </c:pt>
                <c:pt idx="8">
                  <c:v>58.489999999999995</c:v>
                </c:pt>
                <c:pt idx="9">
                  <c:v>45.84</c:v>
                </c:pt>
                <c:pt idx="10">
                  <c:v>150.49999999999997</c:v>
                </c:pt>
                <c:pt idx="11">
                  <c:v>38.11</c:v>
                </c:pt>
                <c:pt idx="12">
                  <c:v>40.110000000000007</c:v>
                </c:pt>
                <c:pt idx="13">
                  <c:v>54.11999999999999</c:v>
                </c:pt>
                <c:pt idx="14">
                  <c:v>79.469999999999985</c:v>
                </c:pt>
                <c:pt idx="15">
                  <c:v>65.88000000000001</c:v>
                </c:pt>
                <c:pt idx="16">
                  <c:v>165.19</c:v>
                </c:pt>
                <c:pt idx="17">
                  <c:v>65.44</c:v>
                </c:pt>
                <c:pt idx="18">
                  <c:v>47.45</c:v>
                </c:pt>
                <c:pt idx="19">
                  <c:v>54.29999999999999</c:v>
                </c:pt>
                <c:pt idx="20">
                  <c:v>26.520000000000003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78992"/>
        <c:axId val="-30068112"/>
      </c:barChart>
      <c:catAx>
        <c:axId val="-30078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8112"/>
        <c:crosses val="autoZero"/>
        <c:auto val="1"/>
        <c:lblAlgn val="ctr"/>
        <c:lblOffset val="100"/>
        <c:noMultiLvlLbl val="0"/>
      </c:catAx>
      <c:valAx>
        <c:axId val="-30068112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Andalucía y C. Valenciana 
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'PC-EDAD'!$A$38</c:f>
              <c:strCache>
                <c:ptCount val="1"/>
                <c:pt idx="0">
                  <c:v>ANDALUCIA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'PC-EDAD'!$B$38:$W$38</c15:sqref>
                  </c15:fullRef>
                </c:ext>
              </c:extLst>
              <c:f>'PC-EDAD'!$C$38:$W$38</c:f>
              <c:numCache>
                <c:formatCode>0%</c:formatCode>
                <c:ptCount val="21"/>
                <c:pt idx="0">
                  <c:v>5.4817399656303438E-2</c:v>
                </c:pt>
                <c:pt idx="1">
                  <c:v>3.3336719623027811E-2</c:v>
                </c:pt>
                <c:pt idx="2">
                  <c:v>4.7014251543544272E-2</c:v>
                </c:pt>
                <c:pt idx="3">
                  <c:v>2.9416674895587427E-2</c:v>
                </c:pt>
                <c:pt idx="4">
                  <c:v>6.5579407190916428E-2</c:v>
                </c:pt>
                <c:pt idx="5">
                  <c:v>3.7373982070661678E-2</c:v>
                </c:pt>
                <c:pt idx="6">
                  <c:v>2.6739848412623425E-2</c:v>
                </c:pt>
                <c:pt idx="7">
                  <c:v>2.8065474266447957E-2</c:v>
                </c:pt>
                <c:pt idx="8">
                  <c:v>3.5129085126350053E-2</c:v>
                </c:pt>
                <c:pt idx="9">
                  <c:v>1.9702522738461695E-2</c:v>
                </c:pt>
                <c:pt idx="10">
                  <c:v>4.69133732631353E-2</c:v>
                </c:pt>
                <c:pt idx="11">
                  <c:v>2.2497987762470015E-2</c:v>
                </c:pt>
                <c:pt idx="12">
                  <c:v>3.464742685791862E-2</c:v>
                </c:pt>
                <c:pt idx="13">
                  <c:v>2.7614363646309384E-2</c:v>
                </c:pt>
                <c:pt idx="14">
                  <c:v>4.1514254029980747E-2</c:v>
                </c:pt>
                <c:pt idx="15">
                  <c:v>7.9986530618334148E-2</c:v>
                </c:pt>
                <c:pt idx="16">
                  <c:v>4.6958839530361882E-2</c:v>
                </c:pt>
                <c:pt idx="17">
                  <c:v>3.2823803295878126E-2</c:v>
                </c:pt>
                <c:pt idx="18">
                  <c:v>2.6813020686441175E-2</c:v>
                </c:pt>
                <c:pt idx="19">
                  <c:v>2.6974283853010404E-2</c:v>
                </c:pt>
                <c:pt idx="20">
                  <c:v>1.1125027262000075E-2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ser>
          <c:idx val="1"/>
          <c:order val="1"/>
          <c:tx>
            <c:strRef>
              <c:f>'PC-EDAD'!$A$39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'PC-EDAD'!$B$39:$W$39</c15:sqref>
                  </c15:fullRef>
                </c:ext>
              </c:extLst>
              <c:f>'PC-EDAD'!$C$39:$W$39</c:f>
              <c:numCache>
                <c:formatCode>0%</c:formatCode>
                <c:ptCount val="21"/>
                <c:pt idx="0">
                  <c:v>0.11502122542272214</c:v>
                </c:pt>
                <c:pt idx="1">
                  <c:v>2.7710054941502967E-2</c:v>
                </c:pt>
                <c:pt idx="2">
                  <c:v>3.0180021979625563E-2</c:v>
                </c:pt>
                <c:pt idx="3">
                  <c:v>2.8261624836447612E-2</c:v>
                </c:pt>
                <c:pt idx="4">
                  <c:v>4.4659771349894531E-2</c:v>
                </c:pt>
                <c:pt idx="5">
                  <c:v>3.8238650948499854E-2</c:v>
                </c:pt>
                <c:pt idx="6">
                  <c:v>1.3697760112083235E-2</c:v>
                </c:pt>
                <c:pt idx="7">
                  <c:v>1.8641096607145757E-2</c:v>
                </c:pt>
                <c:pt idx="8">
                  <c:v>1.533696988897151E-2</c:v>
                </c:pt>
                <c:pt idx="9">
                  <c:v>1.8424475942441655E-2</c:v>
                </c:pt>
                <c:pt idx="10">
                  <c:v>2.8747981704059872E-2</c:v>
                </c:pt>
                <c:pt idx="11">
                  <c:v>1.5194446345178409E-2</c:v>
                </c:pt>
                <c:pt idx="12">
                  <c:v>2.2749706352353738E-2</c:v>
                </c:pt>
                <c:pt idx="13">
                  <c:v>2.2201349852958796E-2</c:v>
                </c:pt>
                <c:pt idx="14">
                  <c:v>2.6960388662081971E-2</c:v>
                </c:pt>
                <c:pt idx="15">
                  <c:v>3.3186815097817651E-2</c:v>
                </c:pt>
                <c:pt idx="16">
                  <c:v>2.015252665511608E-2</c:v>
                </c:pt>
                <c:pt idx="17">
                  <c:v>1.8639584421004718E-2</c:v>
                </c:pt>
                <c:pt idx="18">
                  <c:v>1.7637761102565156E-2</c:v>
                </c:pt>
                <c:pt idx="19">
                  <c:v>1.0976392128012605E-2</c:v>
                </c:pt>
                <c:pt idx="20">
                  <c:v>6.0071594452847585E-3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ser>
          <c:idx val="2"/>
          <c:order val="2"/>
          <c:tx>
            <c:strRef>
              <c:f>'PC-EDAD'!$A$42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2.000</c:v>
              </c:pt>
              <c:pt idx="1">
                <c:v>2.001</c:v>
              </c:pt>
              <c:pt idx="2">
                <c:v>2.002</c:v>
              </c:pt>
              <c:pt idx="3">
                <c:v>2.003</c:v>
              </c:pt>
              <c:pt idx="4">
                <c:v>2.004</c:v>
              </c:pt>
              <c:pt idx="5">
                <c:v>2.005</c:v>
              </c:pt>
              <c:pt idx="6">
                <c:v>2.006</c:v>
              </c:pt>
              <c:pt idx="7">
                <c:v>2.007</c:v>
              </c:pt>
              <c:pt idx="8">
                <c:v>2.008</c:v>
              </c:pt>
              <c:pt idx="9">
                <c:v>2.009</c:v>
              </c:pt>
              <c:pt idx="10">
                <c:v>2.010</c:v>
              </c:pt>
              <c:pt idx="11">
                <c:v>2.011</c:v>
              </c:pt>
              <c:pt idx="12">
                <c:v>2.012</c:v>
              </c:pt>
              <c:pt idx="13">
                <c:v>2.013</c:v>
              </c:pt>
              <c:pt idx="14">
                <c:v>2.014</c:v>
              </c:pt>
              <c:pt idx="15">
                <c:v>2.015</c:v>
              </c:pt>
              <c:pt idx="16">
                <c:v>2.016</c:v>
              </c:pt>
              <c:pt idx="17">
                <c:v>2.017</c:v>
              </c:pt>
              <c:pt idx="18">
                <c:v>2.018</c:v>
              </c:pt>
              <c:pt idx="19">
                <c:v>2.019</c:v>
              </c:pt>
              <c:pt idx="20">
                <c:v>2.020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'PC-EDAD'!$B$42:$W$42</c15:sqref>
                  </c15:fullRef>
                </c:ext>
              </c:extLst>
              <c:f>'PC-EDAD'!$C$42:$W$42</c:f>
              <c:numCache>
                <c:formatCode>0%</c:formatCode>
                <c:ptCount val="21"/>
                <c:pt idx="0">
                  <c:v>0.15351682979630399</c:v>
                </c:pt>
                <c:pt idx="1">
                  <c:v>5.3484231730455814E-2</c:v>
                </c:pt>
                <c:pt idx="2">
                  <c:v>7.2255702571903835E-2</c:v>
                </c:pt>
                <c:pt idx="3">
                  <c:v>5.8567858307073804E-2</c:v>
                </c:pt>
                <c:pt idx="4">
                  <c:v>4.7397587743127266E-2</c:v>
                </c:pt>
                <c:pt idx="5">
                  <c:v>4.5048855306380052E-2</c:v>
                </c:pt>
                <c:pt idx="6">
                  <c:v>1.6494621319135077E-2</c:v>
                </c:pt>
                <c:pt idx="7">
                  <c:v>7.9338677187204901E-3</c:v>
                </c:pt>
                <c:pt idx="8">
                  <c:v>9.7777480587433897E-3</c:v>
                </c:pt>
                <c:pt idx="9">
                  <c:v>7.6630530178286391E-3</c:v>
                </c:pt>
                <c:pt idx="10">
                  <c:v>2.5159020051989743E-2</c:v>
                </c:pt>
                <c:pt idx="11">
                  <c:v>6.3708322536965402E-3</c:v>
                </c:pt>
                <c:pt idx="12">
                  <c:v>6.7051713906000595E-3</c:v>
                </c:pt>
                <c:pt idx="13">
                  <c:v>9.0472170446092015E-3</c:v>
                </c:pt>
                <c:pt idx="14">
                  <c:v>1.3284965604861296E-2</c:v>
                </c:pt>
                <c:pt idx="15">
                  <c:v>1.1013131169601892E-2</c:v>
                </c:pt>
                <c:pt idx="16">
                  <c:v>2.7614741012546091E-2</c:v>
                </c:pt>
                <c:pt idx="17">
                  <c:v>1.0939576559483117E-2</c:v>
                </c:pt>
                <c:pt idx="18">
                  <c:v>7.9321960230359714E-3</c:v>
                </c:pt>
                <c:pt idx="19">
                  <c:v>9.0773075669305179E-3</c:v>
                </c:pt>
                <c:pt idx="20">
                  <c:v>4.4333369553406525E-3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30083888"/>
        <c:axId val="-30067568"/>
      </c:lineChart>
      <c:catAx>
        <c:axId val="-3008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7568"/>
        <c:crosses val="autoZero"/>
        <c:auto val="1"/>
        <c:lblAlgn val="ctr"/>
        <c:lblOffset val="100"/>
        <c:noMultiLvlLbl val="0"/>
      </c:catAx>
      <c:valAx>
        <c:axId val="-30067568"/>
        <c:scaling>
          <c:orientation val="minMax"/>
          <c:max val="0.16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3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</a:t>
            </a:r>
            <a:r>
              <a:rPr lang="en-US" baseline="0"/>
              <a:t> </a:t>
            </a:r>
            <a:r>
              <a:rPr lang="en-US"/>
              <a:t>Andalucía, 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'PC-EDAD'!$B$4:$W$4</c15:sqref>
                  </c15:fullRef>
                </c:ext>
              </c:extLst>
              <c:f>'PC-EDAD'!$C$4:$W$4</c:f>
              <c:numCache>
                <c:formatCode>#,##0</c:formatCode>
                <c:ptCount val="21"/>
                <c:pt idx="0">
                  <c:v>771.63</c:v>
                </c:pt>
                <c:pt idx="1">
                  <c:v>469.26</c:v>
                </c:pt>
                <c:pt idx="2">
                  <c:v>661.79000000000019</c:v>
                </c:pt>
                <c:pt idx="3">
                  <c:v>414.08</c:v>
                </c:pt>
                <c:pt idx="4">
                  <c:v>923.12000000000012</c:v>
                </c:pt>
                <c:pt idx="5">
                  <c:v>526.08999999999992</c:v>
                </c:pt>
                <c:pt idx="6">
                  <c:v>376.4</c:v>
                </c:pt>
                <c:pt idx="7">
                  <c:v>395.06</c:v>
                </c:pt>
                <c:pt idx="8">
                  <c:v>494.49</c:v>
                </c:pt>
                <c:pt idx="9">
                  <c:v>277.34000000000003</c:v>
                </c:pt>
                <c:pt idx="10">
                  <c:v>660.36999999999978</c:v>
                </c:pt>
                <c:pt idx="11">
                  <c:v>316.69</c:v>
                </c:pt>
                <c:pt idx="12">
                  <c:v>487.70999999999992</c:v>
                </c:pt>
                <c:pt idx="13">
                  <c:v>388.71</c:v>
                </c:pt>
                <c:pt idx="14">
                  <c:v>584.37</c:v>
                </c:pt>
                <c:pt idx="15">
                  <c:v>1125.92</c:v>
                </c:pt>
                <c:pt idx="16">
                  <c:v>661.01</c:v>
                </c:pt>
                <c:pt idx="17">
                  <c:v>462.03999999999996</c:v>
                </c:pt>
                <c:pt idx="18">
                  <c:v>377.42999999999995</c:v>
                </c:pt>
                <c:pt idx="19">
                  <c:v>379.70000000000005</c:v>
                </c:pt>
                <c:pt idx="20">
                  <c:v>156.6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2-48E9-9E7A-87F127D27274}"/>
            </c:ext>
          </c:extLst>
        </c:ser>
        <c:ser>
          <c:idx val="1"/>
          <c:order val="1"/>
          <c:tx>
            <c:strRef>
              <c:f>'PC-EDAD'!$A$12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'PC-EDAD'!$B$12:$W$12</c15:sqref>
                  </c15:fullRef>
                </c:ext>
              </c:extLst>
              <c:f>'PC-EDAD'!$C$12:$W$12</c:f>
              <c:numCache>
                <c:formatCode>#,##0</c:formatCode>
                <c:ptCount val="21"/>
                <c:pt idx="0">
                  <c:v>6085.0299999999988</c:v>
                </c:pt>
                <c:pt idx="1">
                  <c:v>1465.96</c:v>
                </c:pt>
                <c:pt idx="2">
                  <c:v>1596.6300000000003</c:v>
                </c:pt>
                <c:pt idx="3">
                  <c:v>1495.1399999999999</c:v>
                </c:pt>
                <c:pt idx="4">
                  <c:v>2362.66</c:v>
                </c:pt>
                <c:pt idx="5">
                  <c:v>2022.9600000000003</c:v>
                </c:pt>
                <c:pt idx="6">
                  <c:v>724.66</c:v>
                </c:pt>
                <c:pt idx="7">
                  <c:v>986.18000000000006</c:v>
                </c:pt>
                <c:pt idx="8">
                  <c:v>811.38</c:v>
                </c:pt>
                <c:pt idx="9">
                  <c:v>974.72</c:v>
                </c:pt>
                <c:pt idx="10">
                  <c:v>1520.87</c:v>
                </c:pt>
                <c:pt idx="11">
                  <c:v>803.83999999999992</c:v>
                </c:pt>
                <c:pt idx="12">
                  <c:v>1203.5400000000002</c:v>
                </c:pt>
                <c:pt idx="13">
                  <c:v>1174.53</c:v>
                </c:pt>
                <c:pt idx="14">
                  <c:v>1426.3000000000002</c:v>
                </c:pt>
                <c:pt idx="15">
                  <c:v>1755.7000000000003</c:v>
                </c:pt>
                <c:pt idx="16">
                  <c:v>1066.1399999999999</c:v>
                </c:pt>
                <c:pt idx="17">
                  <c:v>986.10000000000014</c:v>
                </c:pt>
                <c:pt idx="18">
                  <c:v>933.09999999999991</c:v>
                </c:pt>
                <c:pt idx="19">
                  <c:v>580.69000000000005</c:v>
                </c:pt>
                <c:pt idx="20">
                  <c:v>317.80000000000007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E92-48E9-9E7A-87F127D27274}"/>
            </c:ext>
          </c:extLst>
        </c:ser>
        <c:ser>
          <c:idx val="2"/>
          <c:order val="2"/>
          <c:tx>
            <c:strRef>
              <c:f>'PC-EDAD'!$A$20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'PC-EDAD'!$B$20:$W$20</c15:sqref>
                  </c15:fullRef>
                </c:ext>
              </c:extLst>
              <c:f>'PC-EDAD'!$C$20:$W$20</c:f>
              <c:numCache>
                <c:formatCode>#,##0</c:formatCode>
                <c:ptCount val="21"/>
                <c:pt idx="0">
                  <c:v>918.33000000000015</c:v>
                </c:pt>
                <c:pt idx="1">
                  <c:v>319.94</c:v>
                </c:pt>
                <c:pt idx="2">
                  <c:v>432.22999999999996</c:v>
                </c:pt>
                <c:pt idx="3">
                  <c:v>350.34999999999997</c:v>
                </c:pt>
                <c:pt idx="4">
                  <c:v>283.53000000000003</c:v>
                </c:pt>
                <c:pt idx="5">
                  <c:v>269.48</c:v>
                </c:pt>
                <c:pt idx="6">
                  <c:v>98.670000000000016</c:v>
                </c:pt>
                <c:pt idx="7">
                  <c:v>47.460000000000015</c:v>
                </c:pt>
                <c:pt idx="8">
                  <c:v>58.489999999999995</c:v>
                </c:pt>
                <c:pt idx="9">
                  <c:v>45.84</c:v>
                </c:pt>
                <c:pt idx="10">
                  <c:v>150.49999999999997</c:v>
                </c:pt>
                <c:pt idx="11">
                  <c:v>38.11</c:v>
                </c:pt>
                <c:pt idx="12">
                  <c:v>40.110000000000007</c:v>
                </c:pt>
                <c:pt idx="13">
                  <c:v>54.11999999999999</c:v>
                </c:pt>
                <c:pt idx="14">
                  <c:v>79.469999999999985</c:v>
                </c:pt>
                <c:pt idx="15">
                  <c:v>65.88000000000001</c:v>
                </c:pt>
                <c:pt idx="16">
                  <c:v>165.19</c:v>
                </c:pt>
                <c:pt idx="17">
                  <c:v>65.44</c:v>
                </c:pt>
                <c:pt idx="18">
                  <c:v>47.45</c:v>
                </c:pt>
                <c:pt idx="19">
                  <c:v>54.29999999999999</c:v>
                </c:pt>
                <c:pt idx="20">
                  <c:v>26.520000000000003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7C-4857-B41E-A43AF278C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0067024"/>
        <c:axId val="-30066480"/>
      </c:barChart>
      <c:lineChart>
        <c:grouping val="standard"/>
        <c:varyColors val="0"/>
        <c:ser>
          <c:idx val="3"/>
          <c:order val="3"/>
          <c:tx>
            <c:strRef>
              <c:f>'PC-EDAD'!$A$38</c:f>
              <c:strCache>
                <c:ptCount val="1"/>
                <c:pt idx="0">
                  <c:v>ANDALUCIA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'PC-EDAD'!$B$38:$W$38</c15:sqref>
                  </c15:fullRef>
                </c:ext>
              </c:extLst>
              <c:f>'PC-EDAD'!$C$38:$W$38</c:f>
              <c:numCache>
                <c:formatCode>0%</c:formatCode>
                <c:ptCount val="21"/>
                <c:pt idx="0">
                  <c:v>5.4817399656303438E-2</c:v>
                </c:pt>
                <c:pt idx="1">
                  <c:v>3.3336719623027811E-2</c:v>
                </c:pt>
                <c:pt idx="2">
                  <c:v>4.7014251543544272E-2</c:v>
                </c:pt>
                <c:pt idx="3">
                  <c:v>2.9416674895587427E-2</c:v>
                </c:pt>
                <c:pt idx="4">
                  <c:v>6.5579407190916428E-2</c:v>
                </c:pt>
                <c:pt idx="5">
                  <c:v>3.7373982070661678E-2</c:v>
                </c:pt>
                <c:pt idx="6">
                  <c:v>2.6739848412623425E-2</c:v>
                </c:pt>
                <c:pt idx="7">
                  <c:v>2.8065474266447957E-2</c:v>
                </c:pt>
                <c:pt idx="8">
                  <c:v>3.5129085126350053E-2</c:v>
                </c:pt>
                <c:pt idx="9">
                  <c:v>1.9702522738461695E-2</c:v>
                </c:pt>
                <c:pt idx="10">
                  <c:v>4.69133732631353E-2</c:v>
                </c:pt>
                <c:pt idx="11">
                  <c:v>2.2497987762470015E-2</c:v>
                </c:pt>
                <c:pt idx="12">
                  <c:v>3.464742685791862E-2</c:v>
                </c:pt>
                <c:pt idx="13">
                  <c:v>2.7614363646309384E-2</c:v>
                </c:pt>
                <c:pt idx="14">
                  <c:v>4.1514254029980747E-2</c:v>
                </c:pt>
                <c:pt idx="15">
                  <c:v>7.9986530618334148E-2</c:v>
                </c:pt>
                <c:pt idx="16">
                  <c:v>4.6958839530361882E-2</c:v>
                </c:pt>
                <c:pt idx="17">
                  <c:v>3.2823803295878126E-2</c:v>
                </c:pt>
                <c:pt idx="18">
                  <c:v>2.6813020686441175E-2</c:v>
                </c:pt>
                <c:pt idx="19">
                  <c:v>2.6974283853010404E-2</c:v>
                </c:pt>
                <c:pt idx="20">
                  <c:v>1.1125027262000075E-2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'PC-EDAD'!$A$39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'PC-EDAD'!$B$39:$W$39</c15:sqref>
                  </c15:fullRef>
                </c:ext>
              </c:extLst>
              <c:f>'PC-EDAD'!$C$39:$W$39</c:f>
              <c:numCache>
                <c:formatCode>0%</c:formatCode>
                <c:ptCount val="21"/>
                <c:pt idx="0">
                  <c:v>0.11502122542272214</c:v>
                </c:pt>
                <c:pt idx="1">
                  <c:v>2.7710054941502967E-2</c:v>
                </c:pt>
                <c:pt idx="2">
                  <c:v>3.0180021979625563E-2</c:v>
                </c:pt>
                <c:pt idx="3">
                  <c:v>2.8261624836447612E-2</c:v>
                </c:pt>
                <c:pt idx="4">
                  <c:v>4.4659771349894531E-2</c:v>
                </c:pt>
                <c:pt idx="5">
                  <c:v>3.8238650948499854E-2</c:v>
                </c:pt>
                <c:pt idx="6">
                  <c:v>1.3697760112083235E-2</c:v>
                </c:pt>
                <c:pt idx="7">
                  <c:v>1.8641096607145757E-2</c:v>
                </c:pt>
                <c:pt idx="8">
                  <c:v>1.533696988897151E-2</c:v>
                </c:pt>
                <c:pt idx="9">
                  <c:v>1.8424475942441655E-2</c:v>
                </c:pt>
                <c:pt idx="10">
                  <c:v>2.8747981704059872E-2</c:v>
                </c:pt>
                <c:pt idx="11">
                  <c:v>1.5194446345178409E-2</c:v>
                </c:pt>
                <c:pt idx="12">
                  <c:v>2.2749706352353738E-2</c:v>
                </c:pt>
                <c:pt idx="13">
                  <c:v>2.2201349852958796E-2</c:v>
                </c:pt>
                <c:pt idx="14">
                  <c:v>2.6960388662081971E-2</c:v>
                </c:pt>
                <c:pt idx="15">
                  <c:v>3.3186815097817651E-2</c:v>
                </c:pt>
                <c:pt idx="16">
                  <c:v>2.015252665511608E-2</c:v>
                </c:pt>
                <c:pt idx="17">
                  <c:v>1.8639584421004718E-2</c:v>
                </c:pt>
                <c:pt idx="18">
                  <c:v>1.7637761102565156E-2</c:v>
                </c:pt>
                <c:pt idx="19">
                  <c:v>1.0976392128012605E-2</c:v>
                </c:pt>
                <c:pt idx="20">
                  <c:v>6.0071594452847585E-3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'PC-EDAD'!$A$42</c:f>
              <c:strCache>
                <c:ptCount val="1"/>
                <c:pt idx="0">
                  <c:v>CATALUÑA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'PC-EDAD'!$B$37:$W$37</c15:sqref>
                  </c15:fullRef>
                </c:ext>
              </c:extLst>
              <c:f>'PC-EDAD'!$C$37:$W$37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'PC-EDAD'!$B$42:$W$42</c15:sqref>
                  </c15:fullRef>
                </c:ext>
              </c:extLst>
              <c:f>'PC-EDAD'!$C$42:$W$42</c:f>
              <c:numCache>
                <c:formatCode>0%</c:formatCode>
                <c:ptCount val="21"/>
                <c:pt idx="0">
                  <c:v>0.15351682979630399</c:v>
                </c:pt>
                <c:pt idx="1">
                  <c:v>5.3484231730455814E-2</c:v>
                </c:pt>
                <c:pt idx="2">
                  <c:v>7.2255702571903835E-2</c:v>
                </c:pt>
                <c:pt idx="3">
                  <c:v>5.8567858307073804E-2</c:v>
                </c:pt>
                <c:pt idx="4">
                  <c:v>4.7397587743127266E-2</c:v>
                </c:pt>
                <c:pt idx="5">
                  <c:v>4.5048855306380052E-2</c:v>
                </c:pt>
                <c:pt idx="6">
                  <c:v>1.6494621319135077E-2</c:v>
                </c:pt>
                <c:pt idx="7">
                  <c:v>7.9338677187204901E-3</c:v>
                </c:pt>
                <c:pt idx="8">
                  <c:v>9.7777480587433897E-3</c:v>
                </c:pt>
                <c:pt idx="9">
                  <c:v>7.6630530178286391E-3</c:v>
                </c:pt>
                <c:pt idx="10">
                  <c:v>2.5159020051989743E-2</c:v>
                </c:pt>
                <c:pt idx="11">
                  <c:v>6.3708322536965402E-3</c:v>
                </c:pt>
                <c:pt idx="12">
                  <c:v>6.7051713906000595E-3</c:v>
                </c:pt>
                <c:pt idx="13">
                  <c:v>9.0472170446092015E-3</c:v>
                </c:pt>
                <c:pt idx="14">
                  <c:v>1.3284965604861296E-2</c:v>
                </c:pt>
                <c:pt idx="15">
                  <c:v>1.1013131169601892E-2</c:v>
                </c:pt>
                <c:pt idx="16">
                  <c:v>2.7614741012546091E-2</c:v>
                </c:pt>
                <c:pt idx="17">
                  <c:v>1.0939576559483117E-2</c:v>
                </c:pt>
                <c:pt idx="18">
                  <c:v>7.9321960230359714E-3</c:v>
                </c:pt>
                <c:pt idx="19">
                  <c:v>9.0773075669305179E-3</c:v>
                </c:pt>
                <c:pt idx="20">
                  <c:v>4.4333369553406525E-3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0064848"/>
        <c:axId val="-30065936"/>
      </c:lineChart>
      <c:catAx>
        <c:axId val="-3006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6480"/>
        <c:crosses val="autoZero"/>
        <c:auto val="1"/>
        <c:lblAlgn val="ctr"/>
        <c:lblOffset val="100"/>
        <c:noMultiLvlLbl val="0"/>
      </c:catAx>
      <c:valAx>
        <c:axId val="-30066480"/>
        <c:scaling>
          <c:orientation val="minMax"/>
          <c:max val="6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7024"/>
        <c:crosses val="autoZero"/>
        <c:crossBetween val="between"/>
      </c:valAx>
      <c:valAx>
        <c:axId val="-30065936"/>
        <c:scaling>
          <c:orientation val="minMax"/>
          <c:max val="0.16000000000000003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4848"/>
        <c:crosses val="max"/>
        <c:crossBetween val="between"/>
      </c:valAx>
      <c:catAx>
        <c:axId val="-30064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00659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</a:t>
            </a:r>
            <a:r>
              <a:rPr lang="en-US" baseline="0"/>
              <a:t> </a:t>
            </a:r>
            <a:r>
              <a:rPr lang="en-US"/>
              <a:t>ESPAÑA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'CLE-EDAD'!$B$3:$W$3</c15:sqref>
                  </c15:fullRef>
                </c:ext>
              </c:extLst>
              <c:f>'CLE-EDAD'!$C$3:$W$3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'CLE-EDAD'!$B$25:$W$25</c15:sqref>
                  </c15:fullRef>
                </c:ext>
              </c:extLst>
              <c:f>'CLE-EDAD'!$C$25:$W$25</c:f>
              <c:numCache>
                <c:formatCode>#,##0</c:formatCode>
                <c:ptCount val="21"/>
                <c:pt idx="0">
                  <c:v>5784.94</c:v>
                </c:pt>
                <c:pt idx="1">
                  <c:v>1708.74</c:v>
                </c:pt>
                <c:pt idx="2">
                  <c:v>1918.1100000000001</c:v>
                </c:pt>
                <c:pt idx="3">
                  <c:v>1545.79</c:v>
                </c:pt>
                <c:pt idx="4">
                  <c:v>1912.2199999999998</c:v>
                </c:pt>
                <c:pt idx="5">
                  <c:v>1725.38</c:v>
                </c:pt>
                <c:pt idx="6">
                  <c:v>581.33999999999992</c:v>
                </c:pt>
                <c:pt idx="7">
                  <c:v>756.69999999999993</c:v>
                </c:pt>
                <c:pt idx="8">
                  <c:v>579.62</c:v>
                </c:pt>
                <c:pt idx="9">
                  <c:v>690.19</c:v>
                </c:pt>
                <c:pt idx="10">
                  <c:v>928.06</c:v>
                </c:pt>
                <c:pt idx="11">
                  <c:v>517.32999999999993</c:v>
                </c:pt>
                <c:pt idx="12">
                  <c:v>654.15</c:v>
                </c:pt>
                <c:pt idx="13">
                  <c:v>645.84999999999991</c:v>
                </c:pt>
                <c:pt idx="14">
                  <c:v>826.23000000000013</c:v>
                </c:pt>
                <c:pt idx="15">
                  <c:v>1272.22</c:v>
                </c:pt>
                <c:pt idx="16">
                  <c:v>865.99000000000012</c:v>
                </c:pt>
                <c:pt idx="17">
                  <c:v>477.83999999999992</c:v>
                </c:pt>
                <c:pt idx="18">
                  <c:v>379.37</c:v>
                </c:pt>
                <c:pt idx="19">
                  <c:v>239.49</c:v>
                </c:pt>
                <c:pt idx="20">
                  <c:v>107.05000000000001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26-44A0-B43B-8514591BB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80080"/>
        <c:axId val="-30075728"/>
      </c:barChart>
      <c:catAx>
        <c:axId val="-3008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5728"/>
        <c:crosses val="autoZero"/>
        <c:auto val="1"/>
        <c:lblAlgn val="ctr"/>
        <c:lblOffset val="100"/>
        <c:noMultiLvlLbl val="0"/>
      </c:catAx>
      <c:valAx>
        <c:axId val="-3007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Clementinas: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'CLE-EDAD'!$A$30:$A$36</c15:sqref>
                  </c15:fullRef>
                </c:ext>
              </c:extLst>
              <c:f>('CLE-EDAD'!$A$31:$A$32,'CLE-EDAD'!$A$35:$A$36)</c:f>
              <c:strCache>
                <c:ptCount val="4"/>
                <c:pt idx="0">
                  <c:v>C. VALENCIANA</c:v>
                </c:pt>
                <c:pt idx="1">
                  <c:v>CATALUÑA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'CLE-EDAD'!$X$30:$X$36</c15:sqref>
                  </c15:fullRef>
                </c:ext>
              </c:extLst>
              <c:f>('CLE-EDAD'!$X$31:$X$32,'CLE-EDAD'!$X$35:$X$36)</c:f>
              <c:numCache>
                <c:formatCode>0.0%</c:formatCode>
                <c:ptCount val="4"/>
                <c:pt idx="0">
                  <c:v>3.8348248860720908E-3</c:v>
                </c:pt>
                <c:pt idx="1" formatCode="0.000%">
                  <c:v>2.868889936830631E-5</c:v>
                </c:pt>
                <c:pt idx="2">
                  <c:v>2.3838288780934459E-2</c:v>
                </c:pt>
                <c:pt idx="3">
                  <c:v>3.8487584258152046E-3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FB-4CBB-BB89-EA6E97476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0088784"/>
        <c:axId val="-30063216"/>
      </c:barChart>
      <c:catAx>
        <c:axId val="-30088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3216"/>
        <c:crosses val="autoZero"/>
        <c:auto val="1"/>
        <c:lblAlgn val="ctr"/>
        <c:lblOffset val="100"/>
        <c:noMultiLvlLbl val="0"/>
      </c:catAx>
      <c:valAx>
        <c:axId val="-30063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8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Clementinas: Andalucía y C. Valenciana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'CLE-EDAD'!$B$3:$W$3</c15:sqref>
                  </c15:fullRef>
                </c:ext>
              </c:extLst>
              <c:f>'CLE-EDAD'!$C$3:$W$3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'CLE-EDAD'!$B$4:$W$4</c15:sqref>
                  </c15:fullRef>
                </c:ext>
              </c:extLst>
              <c:f>'CLE-EDAD'!$C$4:$W$4</c:f>
              <c:numCache>
                <c:formatCode>#,##0</c:formatCode>
                <c:ptCount val="21"/>
                <c:pt idx="0">
                  <c:v>197.2</c:v>
                </c:pt>
                <c:pt idx="1">
                  <c:v>138.97</c:v>
                </c:pt>
                <c:pt idx="2">
                  <c:v>198.48000000000002</c:v>
                </c:pt>
                <c:pt idx="3">
                  <c:v>61</c:v>
                </c:pt>
                <c:pt idx="4">
                  <c:v>68.91</c:v>
                </c:pt>
                <c:pt idx="5">
                  <c:v>92.8</c:v>
                </c:pt>
                <c:pt idx="6">
                  <c:v>43.07</c:v>
                </c:pt>
                <c:pt idx="7">
                  <c:v>44.75</c:v>
                </c:pt>
                <c:pt idx="8">
                  <c:v>38.93</c:v>
                </c:pt>
                <c:pt idx="9">
                  <c:v>36.36</c:v>
                </c:pt>
                <c:pt idx="10">
                  <c:v>27.009999999999998</c:v>
                </c:pt>
                <c:pt idx="11">
                  <c:v>66.710000000000008</c:v>
                </c:pt>
                <c:pt idx="12">
                  <c:v>53.06</c:v>
                </c:pt>
                <c:pt idx="13">
                  <c:v>65.739999999999995</c:v>
                </c:pt>
                <c:pt idx="14">
                  <c:v>141.9</c:v>
                </c:pt>
                <c:pt idx="15">
                  <c:v>228.55999999999997</c:v>
                </c:pt>
                <c:pt idx="16">
                  <c:v>97.039999999999992</c:v>
                </c:pt>
                <c:pt idx="17">
                  <c:v>30.14</c:v>
                </c:pt>
                <c:pt idx="18">
                  <c:v>20.13</c:v>
                </c:pt>
                <c:pt idx="19">
                  <c:v>16.010000000000002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D-4B9A-804E-695772D8E42D}"/>
            </c:ext>
          </c:extLst>
        </c:ser>
        <c:ser>
          <c:idx val="1"/>
          <c:order val="1"/>
          <c:tx>
            <c:strRef>
              <c:f>'CLE-EDAD'!$A$12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'CLE-EDAD'!$B$3:$W$3</c15:sqref>
                  </c15:fullRef>
                </c:ext>
              </c:extLst>
              <c:f>'CLE-EDAD'!$C$3:$W$3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'CLE-EDAD'!$B$12:$W$12</c15:sqref>
                  </c15:fullRef>
                </c:ext>
              </c:extLst>
              <c:f>'CLE-EDAD'!$C$12:$W$12</c:f>
              <c:numCache>
                <c:formatCode>#,##0</c:formatCode>
                <c:ptCount val="21"/>
                <c:pt idx="0">
                  <c:v>4613.119999999999</c:v>
                </c:pt>
                <c:pt idx="1">
                  <c:v>1194.31</c:v>
                </c:pt>
                <c:pt idx="2">
                  <c:v>1243.1199999999999</c:v>
                </c:pt>
                <c:pt idx="3">
                  <c:v>1078.9099999999999</c:v>
                </c:pt>
                <c:pt idx="4">
                  <c:v>1505.5500000000002</c:v>
                </c:pt>
                <c:pt idx="5">
                  <c:v>1313.9599999999998</c:v>
                </c:pt>
                <c:pt idx="6">
                  <c:v>438</c:v>
                </c:pt>
                <c:pt idx="7">
                  <c:v>664.57999999999993</c:v>
                </c:pt>
                <c:pt idx="8">
                  <c:v>458.93</c:v>
                </c:pt>
                <c:pt idx="9">
                  <c:v>575.49</c:v>
                </c:pt>
                <c:pt idx="10">
                  <c:v>730.43000000000006</c:v>
                </c:pt>
                <c:pt idx="11">
                  <c:v>330.76</c:v>
                </c:pt>
                <c:pt idx="12">
                  <c:v>487.62</c:v>
                </c:pt>
                <c:pt idx="13">
                  <c:v>450.96999999999997</c:v>
                </c:pt>
                <c:pt idx="14">
                  <c:v>560.44000000000005</c:v>
                </c:pt>
                <c:pt idx="15">
                  <c:v>819.03</c:v>
                </c:pt>
                <c:pt idx="16">
                  <c:v>472.68</c:v>
                </c:pt>
                <c:pt idx="17">
                  <c:v>329.41999999999996</c:v>
                </c:pt>
                <c:pt idx="18">
                  <c:v>286.12</c:v>
                </c:pt>
                <c:pt idx="19">
                  <c:v>170.94</c:v>
                </c:pt>
                <c:pt idx="20">
                  <c:v>75.92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AD-4B9A-804E-695772D8E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62672"/>
        <c:axId val="-30062128"/>
      </c:barChart>
      <c:catAx>
        <c:axId val="-3006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2128"/>
        <c:crosses val="autoZero"/>
        <c:auto val="1"/>
        <c:lblAlgn val="ctr"/>
        <c:lblOffset val="100"/>
        <c:noMultiLvlLbl val="0"/>
      </c:catAx>
      <c:valAx>
        <c:axId val="-3006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6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Clementinas: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'CLE-EDAD'!$A$30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'CLE-EDAD'!$B$29:$W$29</c15:sqref>
                  </c15:fullRef>
                </c:ext>
              </c:extLst>
              <c:f>'CLE-EDAD'!$C$29:$W$29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'CLE-EDAD'!$B$30:$W$30</c15:sqref>
                  </c15:fullRef>
                </c:ext>
              </c:extLst>
              <c:f>'CLE-EDAD'!$C$30:$W$30</c:f>
              <c:numCache>
                <c:formatCode>0%</c:formatCode>
                <c:ptCount val="21"/>
                <c:pt idx="0">
                  <c:v>7.9162769412340878E-2</c:v>
                </c:pt>
                <c:pt idx="1">
                  <c:v>5.5787272136070036E-2</c:v>
                </c:pt>
                <c:pt idx="2">
                  <c:v>7.9676604832461556E-2</c:v>
                </c:pt>
                <c:pt idx="3">
                  <c:v>2.4487469240125726E-2</c:v>
                </c:pt>
                <c:pt idx="4">
                  <c:v>2.7662811562902685E-2</c:v>
                </c:pt>
                <c:pt idx="5">
                  <c:v>3.7253067958748644E-2</c:v>
                </c:pt>
                <c:pt idx="6">
                  <c:v>1.728975901921664E-2</c:v>
                </c:pt>
                <c:pt idx="7">
                  <c:v>1.7964168008125021E-2</c:v>
                </c:pt>
                <c:pt idx="8">
                  <c:v>1.5627822582263844E-2</c:v>
                </c:pt>
                <c:pt idx="9">
                  <c:v>1.4596137402802811E-2</c:v>
                </c:pt>
                <c:pt idx="10">
                  <c:v>1.0842730232390095E-2</c:v>
                </c:pt>
                <c:pt idx="11">
                  <c:v>2.6779656934570288E-2</c:v>
                </c:pt>
                <c:pt idx="12">
                  <c:v>2.1300083899689692E-2</c:v>
                </c:pt>
                <c:pt idx="13">
                  <c:v>2.6390266030260085E-2</c:v>
                </c:pt>
                <c:pt idx="14">
                  <c:v>5.6963473527440016E-2</c:v>
                </c:pt>
                <c:pt idx="15">
                  <c:v>9.1751737205297307E-2</c:v>
                </c:pt>
                <c:pt idx="16">
                  <c:v>3.8955147787898367E-2</c:v>
                </c:pt>
                <c:pt idx="17">
                  <c:v>1.2099218408153926E-2</c:v>
                </c:pt>
                <c:pt idx="18">
                  <c:v>8.0808648492414897E-3</c:v>
                </c:pt>
                <c:pt idx="19">
                  <c:v>6.4269570907280809E-3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7E-437B-A175-E6F7EC9B41E1}"/>
            </c:ext>
          </c:extLst>
        </c:ser>
        <c:ser>
          <c:idx val="1"/>
          <c:order val="1"/>
          <c:tx>
            <c:strRef>
              <c:f>'CLE-EDAD'!$A$31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'CLE-EDAD'!$B$29:$W$29</c15:sqref>
                  </c15:fullRef>
                </c:ext>
              </c:extLst>
              <c:f>'CLE-EDAD'!$C$29:$W$29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'CLE-EDAD'!$B$31:$W$31</c15:sqref>
                  </c15:fullRef>
                </c:ext>
              </c:extLst>
              <c:f>'CLE-EDAD'!$C$31:$W$31</c:f>
              <c:numCache>
                <c:formatCode>0%</c:formatCode>
                <c:ptCount val="21"/>
                <c:pt idx="0">
                  <c:v>0.13757296351533466</c:v>
                </c:pt>
                <c:pt idx="1">
                  <c:v>3.5616841975929382E-2</c:v>
                </c:pt>
                <c:pt idx="2">
                  <c:v>3.7072459074375438E-2</c:v>
                </c:pt>
                <c:pt idx="3">
                  <c:v>3.2175370696259739E-2</c:v>
                </c:pt>
                <c:pt idx="4">
                  <c:v>4.4898674914268903E-2</c:v>
                </c:pt>
                <c:pt idx="5">
                  <c:v>3.9185057215205571E-2</c:v>
                </c:pt>
                <c:pt idx="6">
                  <c:v>1.306208336651043E-2</c:v>
                </c:pt>
                <c:pt idx="7">
                  <c:v>1.9819176629487442E-2</c:v>
                </c:pt>
                <c:pt idx="8">
                  <c:v>1.3686260089937514E-2</c:v>
                </c:pt>
                <c:pt idx="9">
                  <c:v>1.7162325015052712E-2</c:v>
                </c:pt>
                <c:pt idx="10">
                  <c:v>2.1782962450685419E-2</c:v>
                </c:pt>
                <c:pt idx="11">
                  <c:v>9.8639604892853637E-3</c:v>
                </c:pt>
                <c:pt idx="12">
                  <c:v>1.454185637255209E-2</c:v>
                </c:pt>
                <c:pt idx="13">
                  <c:v>1.3448876109121479E-2</c:v>
                </c:pt>
                <c:pt idx="14">
                  <c:v>1.6713502287504806E-2</c:v>
                </c:pt>
                <c:pt idx="15">
                  <c:v>2.4425201232130222E-2</c:v>
                </c:pt>
                <c:pt idx="16">
                  <c:v>1.4096314076899886E-2</c:v>
                </c:pt>
                <c:pt idx="17">
                  <c:v>9.8239988643741213E-3</c:v>
                </c:pt>
                <c:pt idx="18">
                  <c:v>8.5327015817944392E-3</c:v>
                </c:pt>
                <c:pt idx="19">
                  <c:v>5.0977911659161939E-3</c:v>
                </c:pt>
                <c:pt idx="20">
                  <c:v>2.2640944501951411E-3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7E-437B-A175-E6F7EC9B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77360"/>
        <c:axId val="-30084432"/>
      </c:barChart>
      <c:catAx>
        <c:axId val="-3007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4432"/>
        <c:crosses val="autoZero"/>
        <c:auto val="1"/>
        <c:lblAlgn val="ctr"/>
        <c:lblOffset val="100"/>
        <c:noMultiLvlLbl val="0"/>
      </c:catAx>
      <c:valAx>
        <c:axId val="-3008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'MAN-EDAD'!$A$32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'MAN-EDAD'!$B$3:$W$3</c15:sqref>
                  </c15:fullRef>
                </c:ext>
              </c:extLst>
              <c:f>'MAN-EDAD'!$C$3:$W$3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'MAN-EDAD'!$B$32:$W$32</c15:sqref>
                  </c15:fullRef>
                </c:ext>
              </c:extLst>
              <c:f>'MAN-EDAD'!$C$32:$W$32</c:f>
              <c:numCache>
                <c:formatCode>#,##0</c:formatCode>
                <c:ptCount val="21"/>
                <c:pt idx="0">
                  <c:v>732.26</c:v>
                </c:pt>
                <c:pt idx="1">
                  <c:v>393.76</c:v>
                </c:pt>
                <c:pt idx="2">
                  <c:v>390.4</c:v>
                </c:pt>
                <c:pt idx="3">
                  <c:v>387.58999999999992</c:v>
                </c:pt>
                <c:pt idx="4">
                  <c:v>673.72</c:v>
                </c:pt>
                <c:pt idx="5">
                  <c:v>371.32</c:v>
                </c:pt>
                <c:pt idx="6">
                  <c:v>349.13</c:v>
                </c:pt>
                <c:pt idx="7">
                  <c:v>191.38</c:v>
                </c:pt>
                <c:pt idx="8">
                  <c:v>302.27999999999997</c:v>
                </c:pt>
                <c:pt idx="9">
                  <c:v>167.13</c:v>
                </c:pt>
                <c:pt idx="10">
                  <c:v>569.39</c:v>
                </c:pt>
                <c:pt idx="11">
                  <c:v>290.52999999999997</c:v>
                </c:pt>
                <c:pt idx="12">
                  <c:v>347.70000000000005</c:v>
                </c:pt>
                <c:pt idx="13">
                  <c:v>412.46999999999997</c:v>
                </c:pt>
                <c:pt idx="14">
                  <c:v>501.92999999999995</c:v>
                </c:pt>
                <c:pt idx="15">
                  <c:v>522.25</c:v>
                </c:pt>
                <c:pt idx="16">
                  <c:v>438.21000000000004</c:v>
                </c:pt>
                <c:pt idx="17">
                  <c:v>207.51999999999998</c:v>
                </c:pt>
                <c:pt idx="18">
                  <c:v>340.28</c:v>
                </c:pt>
                <c:pt idx="19">
                  <c:v>276.7</c:v>
                </c:pt>
                <c:pt idx="20">
                  <c:v>111.08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0-44D4-B5F1-950DFAD6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90416"/>
        <c:axId val="-30078448"/>
      </c:barChart>
      <c:catAx>
        <c:axId val="-3009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8448"/>
        <c:crosses val="autoZero"/>
        <c:auto val="1"/>
        <c:lblAlgn val="ctr"/>
        <c:lblOffset val="100"/>
        <c:noMultiLvlLbl val="0"/>
      </c:catAx>
      <c:valAx>
        <c:axId val="-3007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Mandarino: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'MAN-EDAD'!$A$37:$A$46</c15:sqref>
                  </c15:fullRef>
                </c:ext>
              </c:extLst>
              <c:f>('MAN-EDAD'!$A$37:$A$38,'MAN-EDAD'!$A$40,'MAN-EDAD'!$A$44:$A$46)</c:f>
              <c:strCache>
                <c:ptCount val="6"/>
                <c:pt idx="0">
                  <c:v>ANDALUCÍA</c:v>
                </c:pt>
                <c:pt idx="1">
                  <c:v>C. VALENCIANA</c:v>
                </c:pt>
                <c:pt idx="2">
                  <c:v>CANTABRIA</c:v>
                </c:pt>
                <c:pt idx="3">
                  <c:v>I. CANARIAS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'MAN-EDAD'!$X$37:$X$46</c15:sqref>
                  </c15:fullRef>
                </c:ext>
              </c:extLst>
              <c:f>('MAN-EDAD'!$X$37:$X$38,'MAN-EDAD'!$X$40,'MAN-EDAD'!$X$44:$X$46)</c:f>
              <c:numCache>
                <c:formatCode>0.0%</c:formatCode>
                <c:ptCount val="6"/>
                <c:pt idx="0" formatCode="0.00%">
                  <c:v>1.7316388812693375E-4</c:v>
                </c:pt>
                <c:pt idx="1">
                  <c:v>4.0446578704194632E-3</c:v>
                </c:pt>
                <c:pt idx="2">
                  <c:v>1</c:v>
                </c:pt>
                <c:pt idx="3">
                  <c:v>1</c:v>
                </c:pt>
                <c:pt idx="4">
                  <c:v>1.0335457985220549E-2</c:v>
                </c:pt>
                <c:pt idx="5">
                  <c:v>5.1315143465373355E-3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5D-48BE-99F5-CE1134EA6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0089328"/>
        <c:axId val="-30092592"/>
      </c:barChart>
      <c:catAx>
        <c:axId val="-30089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2592"/>
        <c:crosses val="autoZero"/>
        <c:auto val="1"/>
        <c:lblAlgn val="ctr"/>
        <c:lblOffset val="100"/>
        <c:noMultiLvlLbl val="0"/>
      </c:catAx>
      <c:valAx>
        <c:axId val="-3009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9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Superficies</a:t>
            </a:r>
            <a:r>
              <a:rPr lang="en-US" baseline="0"/>
              <a:t> anuales 2020 (ha)</a:t>
            </a:r>
            <a:r>
              <a:rPr lang="en-US"/>
              <a:t> </a:t>
            </a:r>
          </a:p>
          <a:p>
            <a:pPr>
              <a:defRPr/>
            </a:pPr>
            <a:r>
              <a:rPr lang="en-US"/>
              <a:t>vs RSU REGEPA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v>Superficies anuales 2020 (ha)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('NAR-REPR'!$A$8,'NAR-REPR'!$A$17,'NAR-REPR'!$A$19,'NAR-REPR'!$A$23,'NAR-REPR'!$A$25,'NAR-REPR'!$A$27,'NAR-REPR'!$A$31,'NAR-REPR'!$A$34,'NAR-REPR'!$A$39,'NAR-REPR'!$A$41,'NAR-REPR'!$A$44,'NAR-REPR'!$A$46,'NAR-REPR'!$A$48)</c15:sqref>
                  </c15:fullRef>
                </c:ext>
              </c:extLst>
              <c:f>('NAR-REPR'!$A$8,'NAR-REPR'!$A$19,'NAR-REPR'!$A$27,'NAR-REPR'!$A$39,'NAR-REPR'!$A$44)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('NAR-REPR'!$E$8,'NAR-REPR'!$E$17,'NAR-REPR'!$E$19,'NAR-REPR'!$E$23,'NAR-REPR'!$E$25,'NAR-REPR'!$E$27,'NAR-REPR'!$E$31,'NAR-REPR'!$E$34,'NAR-REPR'!$E$39,'NAR-REPR'!$E$41,'NAR-REPR'!$E$44,'NAR-REPR'!$E$46,'NAR-REPR'!$E$48)</c15:sqref>
                  </c15:fullRef>
                </c:ext>
              </c:extLst>
              <c:f>('NAR-REPR'!$E$8,'NAR-REPR'!$E$19,'NAR-REPR'!$E$27,'NAR-REPR'!$E$39,'NAR-REPR'!$E$44)</c:f>
              <c:numCache>
                <c:formatCode>#,##0</c:formatCode>
                <c:ptCount val="5"/>
                <c:pt idx="0">
                  <c:v>58807</c:v>
                </c:pt>
                <c:pt idx="1">
                  <c:v>70514</c:v>
                </c:pt>
                <c:pt idx="2">
                  <c:v>2180</c:v>
                </c:pt>
                <c:pt idx="3">
                  <c:v>1677</c:v>
                </c:pt>
                <c:pt idx="4">
                  <c:v>6845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A9-426D-B654-E452DF30A41E}"/>
            </c:ext>
          </c:extLst>
        </c:ser>
        <c:ser>
          <c:idx val="0"/>
          <c:order val="1"/>
          <c:tx>
            <c:v>RSU REGEPA 2020</c:v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332E-3"/>
                  <c:y val="-4.1666666666666706E-2"/>
                </c:manualLayout>
              </c:layout>
              <c:tx>
                <c:rich>
                  <a:bodyPr/>
                  <a:lstStyle/>
                  <a:p>
                    <a:fld id="{6AFF5AD3-58B3-49B6-AB28-FBBC0BB34EA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777-4550-B6A2-9C2B6425277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>
                <c:manualLayout>
                  <c:x val="-2.7777777777777779E-3"/>
                  <c:y val="-0.1111111111111111"/>
                </c:manualLayout>
              </c:layout>
              <c:tx>
                <c:rich>
                  <a:bodyPr/>
                  <a:lstStyle/>
                  <a:p>
                    <a:fld id="{9B373171-CD88-4827-8DD4-AF25E6DEBF8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777-4550-B6A2-9C2B64252778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219A671-CF8B-47F3-B84B-46BB5629A8F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A4F73B1-2D13-415B-BFF5-6FD818ED90E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3CF46F0-ADDC-4EF9-BCF9-EE53A2D437E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('NAR-REPR'!$A$8,'NAR-REPR'!$A$17,'NAR-REPR'!$A$19,'NAR-REPR'!$A$23,'NAR-REPR'!$A$25,'NAR-REPR'!$A$27,'NAR-REPR'!$A$31,'NAR-REPR'!$A$34,'NAR-REPR'!$A$39,'NAR-REPR'!$A$41,'NAR-REPR'!$A$44,'NAR-REPR'!$A$46,'NAR-REPR'!$A$48)</c15:sqref>
                  </c15:fullRef>
                </c:ext>
              </c:extLst>
              <c:f>('NAR-REPR'!$A$8,'NAR-REPR'!$A$19,'NAR-REPR'!$A$27,'NAR-REPR'!$A$39,'NAR-REPR'!$A$44)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('NAR-REPR'!$C$8,'NAR-REPR'!$C$17,'NAR-REPR'!$C$19,'NAR-REPR'!$C$23,'NAR-REPR'!$C$25,'NAR-REPR'!$C$27,'NAR-REPR'!$C$31,'NAR-REPR'!$C$34,'NAR-REPR'!$C$39,'NAR-REPR'!$C$41,'NAR-REPR'!$C$44,'NAR-REPR'!$C$46,'NAR-REPR'!$C$48)</c15:sqref>
                  </c15:fullRef>
                </c:ext>
              </c:extLst>
              <c:f>('NAR-REPR'!$C$8,'NAR-REPR'!$C$19,'NAR-REPR'!$C$27,'NAR-REPR'!$C$39,'NAR-REPR'!$C$44)</c:f>
              <c:numCache>
                <c:formatCode>#,##0</c:formatCode>
                <c:ptCount val="5"/>
                <c:pt idx="0">
                  <c:v>50354.649999999994</c:v>
                </c:pt>
                <c:pt idx="1">
                  <c:v>48576.2</c:v>
                </c:pt>
                <c:pt idx="2">
                  <c:v>1918.6299999999981</c:v>
                </c:pt>
                <c:pt idx="3">
                  <c:v>704.70999999999992</c:v>
                </c:pt>
                <c:pt idx="4">
                  <c:v>5401.0300000000007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9-426D-B654-E452DF30A41E}"/>
            </c:ext>
            <c:ext xmlns:c15="http://schemas.microsoft.com/office/drawing/2012/chart" uri="{02D57815-91ED-43cb-92C2-25804820EDAC}">
              <c15:datalabelsRange>
                <c15:f>('NAR-REPR'!$G$8,'NAR-REPR'!$G$17,'NAR-REPR'!$G$19,'NAR-REPR'!$G$23,'NAR-REPR'!$G$25,'NAR-REPR'!$G$27,'NAR-REPR'!$G$31,'NAR-REPR'!$G$34,'NAR-REPR'!$G$39,'NAR-REPR'!$G$41,'NAR-REPR'!$G$44,'NAR-REPR'!$G$46,'NAR-REPR'!$G$48)</c15:f>
                <c15:dlblRangeCache>
                  <c:ptCount val="13"/>
                  <c:pt idx="0">
                    <c:v>85,6%</c:v>
                  </c:pt>
                  <c:pt idx="2">
                    <c:v>68,9%</c:v>
                  </c:pt>
                  <c:pt idx="4">
                    <c:v>0,0%</c:v>
                  </c:pt>
                  <c:pt idx="5">
                    <c:v>88,0%</c:v>
                  </c:pt>
                  <c:pt idx="6">
                    <c:v>115,6%</c:v>
                  </c:pt>
                  <c:pt idx="7">
                    <c:v>0,1%</c:v>
                  </c:pt>
                  <c:pt idx="8">
                    <c:v>42,0%</c:v>
                  </c:pt>
                  <c:pt idx="9">
                    <c:v>16,4%</c:v>
                  </c:pt>
                  <c:pt idx="10">
                    <c:v>78,9%</c:v>
                  </c:pt>
                  <c:pt idx="12">
                    <c:v>75,9%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4382064"/>
        <c:axId val="-34390224"/>
        <c:axId val="0"/>
      </c:bar3DChart>
      <c:catAx>
        <c:axId val="-3438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0224"/>
        <c:crosses val="autoZero"/>
        <c:auto val="1"/>
        <c:lblAlgn val="ctr"/>
        <c:lblOffset val="100"/>
        <c:noMultiLvlLbl val="0"/>
      </c:catAx>
      <c:valAx>
        <c:axId val="-3439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8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'MAN-EDAD'!$B$3:$W$3</c15:sqref>
                  </c15:fullRef>
                </c:ext>
              </c:extLst>
              <c:f>'MAN-EDAD'!$C$3:$W$3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'MAN-EDAD'!$B$4:$W$4</c15:sqref>
                  </c15:fullRef>
                </c:ext>
              </c:extLst>
              <c:f>'MAN-EDAD'!$C$4:$W$4</c:f>
              <c:numCache>
                <c:formatCode>#,##0</c:formatCode>
                <c:ptCount val="21"/>
                <c:pt idx="0">
                  <c:v>437.67999999999995</c:v>
                </c:pt>
                <c:pt idx="1">
                  <c:v>207.20000000000002</c:v>
                </c:pt>
                <c:pt idx="2">
                  <c:v>323.08</c:v>
                </c:pt>
                <c:pt idx="3">
                  <c:v>220.98</c:v>
                </c:pt>
                <c:pt idx="4">
                  <c:v>527.05999999999995</c:v>
                </c:pt>
                <c:pt idx="5">
                  <c:v>203.77999999999997</c:v>
                </c:pt>
                <c:pt idx="6">
                  <c:v>236.52000000000004</c:v>
                </c:pt>
                <c:pt idx="7">
                  <c:v>147.24</c:v>
                </c:pt>
                <c:pt idx="8">
                  <c:v>216.23</c:v>
                </c:pt>
                <c:pt idx="9">
                  <c:v>122.29999999999998</c:v>
                </c:pt>
                <c:pt idx="10">
                  <c:v>334.98</c:v>
                </c:pt>
                <c:pt idx="11">
                  <c:v>124.51</c:v>
                </c:pt>
                <c:pt idx="12">
                  <c:v>158.15</c:v>
                </c:pt>
                <c:pt idx="13">
                  <c:v>189.12</c:v>
                </c:pt>
                <c:pt idx="14">
                  <c:v>189.71</c:v>
                </c:pt>
                <c:pt idx="15">
                  <c:v>304.81</c:v>
                </c:pt>
                <c:pt idx="16">
                  <c:v>261.32</c:v>
                </c:pt>
                <c:pt idx="17">
                  <c:v>111.02999999999999</c:v>
                </c:pt>
                <c:pt idx="18">
                  <c:v>142.9</c:v>
                </c:pt>
                <c:pt idx="19">
                  <c:v>194</c:v>
                </c:pt>
                <c:pt idx="20">
                  <c:v>95.97999999999999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60-4978-9348-B85AEE872DCE}"/>
            </c:ext>
          </c:extLst>
        </c:ser>
        <c:ser>
          <c:idx val="1"/>
          <c:order val="1"/>
          <c:tx>
            <c:strRef>
              <c:f>'MAN-EDAD'!$A$12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'MAN-EDAD'!$B$3:$W$3</c15:sqref>
                  </c15:fullRef>
                </c:ext>
              </c:extLst>
              <c:f>'MAN-EDAD'!$C$3:$W$3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'MAN-EDAD'!$B$12:$W$12</c15:sqref>
                  </c15:fullRef>
                </c:ext>
              </c:extLst>
              <c:f>'MAN-EDAD'!$C$12:$W$12</c:f>
              <c:numCache>
                <c:formatCode>#,##0</c:formatCode>
                <c:ptCount val="21"/>
                <c:pt idx="0">
                  <c:v>47.9</c:v>
                </c:pt>
                <c:pt idx="1">
                  <c:v>12.559999999999999</c:v>
                </c:pt>
                <c:pt idx="2">
                  <c:v>23.700000000000003</c:v>
                </c:pt>
                <c:pt idx="3">
                  <c:v>34.629999999999995</c:v>
                </c:pt>
                <c:pt idx="4">
                  <c:v>11.18</c:v>
                </c:pt>
                <c:pt idx="5">
                  <c:v>31.059999999999995</c:v>
                </c:pt>
                <c:pt idx="6">
                  <c:v>0.24</c:v>
                </c:pt>
                <c:pt idx="7">
                  <c:v>4.2300000000000004</c:v>
                </c:pt>
                <c:pt idx="8">
                  <c:v>6.9</c:v>
                </c:pt>
                <c:pt idx="9">
                  <c:v>7.3400000000000016</c:v>
                </c:pt>
                <c:pt idx="10">
                  <c:v>51.48</c:v>
                </c:pt>
                <c:pt idx="11">
                  <c:v>8.83</c:v>
                </c:pt>
                <c:pt idx="12">
                  <c:v>32.71</c:v>
                </c:pt>
                <c:pt idx="13">
                  <c:v>24.580000000000002</c:v>
                </c:pt>
                <c:pt idx="14">
                  <c:v>14.530000000000001</c:v>
                </c:pt>
                <c:pt idx="15">
                  <c:v>16.760000000000002</c:v>
                </c:pt>
                <c:pt idx="16">
                  <c:v>15.850000000000001</c:v>
                </c:pt>
                <c:pt idx="17">
                  <c:v>17.68</c:v>
                </c:pt>
                <c:pt idx="18">
                  <c:v>8.83</c:v>
                </c:pt>
                <c:pt idx="19">
                  <c:v>23.809999999999995</c:v>
                </c:pt>
                <c:pt idx="20">
                  <c:v>5.88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60-4978-9348-B85AEE872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92048"/>
        <c:axId val="-30082256"/>
      </c:barChart>
      <c:catAx>
        <c:axId val="-30092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2256"/>
        <c:crosses val="autoZero"/>
        <c:auto val="1"/>
        <c:lblAlgn val="ctr"/>
        <c:lblOffset val="100"/>
        <c:noMultiLvlLbl val="0"/>
      </c:catAx>
      <c:valAx>
        <c:axId val="-3008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1523600174978127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'MAN-EDAD'!$A$37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'MAN-EDAD'!$B$36:$W$36</c15:sqref>
                  </c15:fullRef>
                </c:ext>
              </c:extLst>
              <c:f>'MAN-EDAD'!$C$36:$W$36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'MAN-EDAD'!$B$37:$W$37</c15:sqref>
                  </c15:fullRef>
                </c:ext>
              </c:extLst>
              <c:f>'MAN-EDAD'!$C$37:$W$37</c:f>
              <c:numCache>
                <c:formatCode>0%</c:formatCode>
                <c:ptCount val="21"/>
                <c:pt idx="0">
                  <c:v>6.7071124385306505E-2</c:v>
                </c:pt>
                <c:pt idx="1">
                  <c:v>3.1751820902566966E-2</c:v>
                </c:pt>
                <c:pt idx="2">
                  <c:v>4.950954776641571E-2</c:v>
                </c:pt>
                <c:pt idx="3">
                  <c:v>3.3863500883442317E-2</c:v>
                </c:pt>
                <c:pt idx="4">
                  <c:v>8.076792820901034E-2</c:v>
                </c:pt>
                <c:pt idx="5">
                  <c:v>3.1227731966819959E-2</c:v>
                </c:pt>
                <c:pt idx="6">
                  <c:v>3.6244887451134841E-2</c:v>
                </c:pt>
                <c:pt idx="7">
                  <c:v>2.2563407865318342E-2</c:v>
                </c:pt>
                <c:pt idx="8">
                  <c:v>3.3135599583793696E-2</c:v>
                </c:pt>
                <c:pt idx="9">
                  <c:v>1.8741542936215924E-2</c:v>
                </c:pt>
                <c:pt idx="10">
                  <c:v>5.1333132075009086E-2</c:v>
                </c:pt>
                <c:pt idx="11">
                  <c:v>1.9080208593526125E-2</c:v>
                </c:pt>
                <c:pt idx="12">
                  <c:v>2.4235282218827054E-2</c:v>
                </c:pt>
                <c:pt idx="13">
                  <c:v>2.8981198692536025E-2</c:v>
                </c:pt>
                <c:pt idx="14">
                  <c:v>2.9071611696071326E-2</c:v>
                </c:pt>
                <c:pt idx="15">
                  <c:v>4.6709809504398826E-2</c:v>
                </c:pt>
                <c:pt idx="16">
                  <c:v>4.0045298447194975E-2</c:v>
                </c:pt>
                <c:pt idx="17">
                  <c:v>1.7014501326312787E-2</c:v>
                </c:pt>
                <c:pt idx="18">
                  <c:v>2.1898335941007815E-2</c:v>
                </c:pt>
                <c:pt idx="19">
                  <c:v>2.972902150143818E-2</c:v>
                </c:pt>
                <c:pt idx="20">
                  <c:v>1.4708203524268229E-2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7D-4452-85A9-3459F13BD645}"/>
            </c:ext>
          </c:extLst>
        </c:ser>
        <c:ser>
          <c:idx val="1"/>
          <c:order val="1"/>
          <c:tx>
            <c:strRef>
              <c:f>'MAN-EDAD'!$A$38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'MAN-EDAD'!$B$36:$W$36</c15:sqref>
                  </c15:fullRef>
                </c:ext>
              </c:extLst>
              <c:f>'MAN-EDAD'!$C$36:$W$36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'MAN-EDAD'!$B$38:$W$38</c15:sqref>
                  </c15:fullRef>
                </c:ext>
              </c:extLst>
              <c:f>'MAN-EDAD'!$C$38:$W$38</c:f>
              <c:numCache>
                <c:formatCode>0%</c:formatCode>
                <c:ptCount val="21"/>
                <c:pt idx="0">
                  <c:v>7.256146516595216E-2</c:v>
                </c:pt>
                <c:pt idx="1">
                  <c:v>1.9026555375456347E-2</c:v>
                </c:pt>
                <c:pt idx="2">
                  <c:v>3.5902019299228947E-2</c:v>
                </c:pt>
                <c:pt idx="3">
                  <c:v>5.2459364064653922E-2</c:v>
                </c:pt>
                <c:pt idx="4">
                  <c:v>1.6936058049172132E-2</c:v>
                </c:pt>
                <c:pt idx="5">
                  <c:v>4.7051338372744757E-2</c:v>
                </c:pt>
                <c:pt idx="6">
                  <c:v>3.635647523972551E-4</c:v>
                </c:pt>
                <c:pt idx="7">
                  <c:v>6.4078287610016219E-3</c:v>
                </c:pt>
                <c:pt idx="8">
                  <c:v>1.0452486631421084E-2</c:v>
                </c:pt>
                <c:pt idx="9">
                  <c:v>1.1119022010816054E-2</c:v>
                </c:pt>
                <c:pt idx="10">
                  <c:v>7.7984639389211213E-2</c:v>
                </c:pt>
                <c:pt idx="11">
                  <c:v>1.337615318194901E-2</c:v>
                </c:pt>
                <c:pt idx="12">
                  <c:v>4.955084604547589E-2</c:v>
                </c:pt>
                <c:pt idx="13">
                  <c:v>3.723509005801888E-2</c:v>
                </c:pt>
                <c:pt idx="14">
                  <c:v>2.201081605138382E-2</c:v>
                </c:pt>
                <c:pt idx="15">
                  <c:v>2.5388938542408316E-2</c:v>
                </c:pt>
                <c:pt idx="16">
                  <c:v>2.4010422189568725E-2</c:v>
                </c:pt>
                <c:pt idx="17">
                  <c:v>2.678260342659779E-2</c:v>
                </c:pt>
                <c:pt idx="18">
                  <c:v>1.337615318194901E-2</c:v>
                </c:pt>
                <c:pt idx="19">
                  <c:v>3.6068653144077673E-2</c:v>
                </c:pt>
                <c:pt idx="20">
                  <c:v>8.9073364337327494E-3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67D-4452-85A9-3459F13BD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91504"/>
        <c:axId val="-30090960"/>
      </c:barChart>
      <c:catAx>
        <c:axId val="-30091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0960"/>
        <c:crosses val="autoZero"/>
        <c:auto val="1"/>
        <c:lblAlgn val="ctr"/>
        <c:lblOffset val="100"/>
        <c:noMultiLvlLbl val="0"/>
      </c:catAx>
      <c:valAx>
        <c:axId val="-3009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9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'MH-EDAD'!$A$25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'MH-EDAD'!$B$3:$W$3</c15:sqref>
                  </c15:fullRef>
                </c:ext>
              </c:extLst>
              <c:f>'MH-EDAD'!$C$3:$W$3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'MH-EDAD'!$B$25:$W$25</c15:sqref>
                  </c15:fullRef>
                </c:ext>
              </c:extLst>
              <c:f>'MH-EDAD'!$C$25:$W$25</c:f>
              <c:numCache>
                <c:formatCode>#,##0</c:formatCode>
                <c:ptCount val="21"/>
                <c:pt idx="0">
                  <c:v>1364.4699999999998</c:v>
                </c:pt>
                <c:pt idx="1">
                  <c:v>339.95000000000005</c:v>
                </c:pt>
                <c:pt idx="2">
                  <c:v>507.34</c:v>
                </c:pt>
                <c:pt idx="3">
                  <c:v>588.24</c:v>
                </c:pt>
                <c:pt idx="4">
                  <c:v>1139.1400000000001</c:v>
                </c:pt>
                <c:pt idx="5">
                  <c:v>860.06999999999994</c:v>
                </c:pt>
                <c:pt idx="6">
                  <c:v>405.10999999999996</c:v>
                </c:pt>
                <c:pt idx="7">
                  <c:v>468.35</c:v>
                </c:pt>
                <c:pt idx="8">
                  <c:v>524.89</c:v>
                </c:pt>
                <c:pt idx="9">
                  <c:v>474.07999999999993</c:v>
                </c:pt>
                <c:pt idx="10">
                  <c:v>850.84999999999991</c:v>
                </c:pt>
                <c:pt idx="11">
                  <c:v>452.20000000000005</c:v>
                </c:pt>
                <c:pt idx="12">
                  <c:v>748.55</c:v>
                </c:pt>
                <c:pt idx="13">
                  <c:v>632.9</c:v>
                </c:pt>
                <c:pt idx="14">
                  <c:v>943.21</c:v>
                </c:pt>
                <c:pt idx="15">
                  <c:v>1356.71</c:v>
                </c:pt>
                <c:pt idx="16">
                  <c:v>762.59999999999991</c:v>
                </c:pt>
                <c:pt idx="17">
                  <c:v>898.38</c:v>
                </c:pt>
                <c:pt idx="18">
                  <c:v>849.7</c:v>
                </c:pt>
                <c:pt idx="19">
                  <c:v>549.38000000000011</c:v>
                </c:pt>
                <c:pt idx="20">
                  <c:v>293.74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5C-4B3E-9080-D31BF03B6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86064"/>
        <c:axId val="-30088240"/>
      </c:barChart>
      <c:catAx>
        <c:axId val="-30086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8240"/>
        <c:crosses val="autoZero"/>
        <c:auto val="1"/>
        <c:lblAlgn val="ctr"/>
        <c:lblOffset val="100"/>
        <c:noMultiLvlLbl val="0"/>
      </c:catAx>
      <c:valAx>
        <c:axId val="-3008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6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 híbridos: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'MH-EDAD'!$A$30:$A$36</c15:sqref>
                  </c15:fullRef>
                </c:ext>
              </c:extLst>
              <c:f>('MH-EDAD'!$A$30:$A$31,'MH-EDAD'!$A$35:$A$36)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'MH-EDAD'!$X$30:$X$36</c15:sqref>
                  </c15:fullRef>
                </c:ext>
              </c:extLst>
              <c:f>('MH-EDAD'!$X$30:$X$31,'MH-EDAD'!$X$35:$X$36)</c:f>
              <c:numCache>
                <c:formatCode>0.0%</c:formatCode>
                <c:ptCount val="4"/>
                <c:pt idx="0" formatCode="0.00%">
                  <c:v>1.6350356661196234E-3</c:v>
                </c:pt>
                <c:pt idx="1">
                  <c:v>2.506914842602011E-3</c:v>
                </c:pt>
                <c:pt idx="2" formatCode="0.00%">
                  <c:v>2.2379052536292622E-3</c:v>
                </c:pt>
                <c:pt idx="3" formatCode="0.00%">
                  <c:v>2.2540142817212669E-3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12-4634-9030-7F26FA15F9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0087696"/>
        <c:axId val="-30087152"/>
      </c:barChart>
      <c:catAx>
        <c:axId val="-3008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7152"/>
        <c:crosses val="autoZero"/>
        <c:auto val="1"/>
        <c:lblAlgn val="ctr"/>
        <c:lblOffset val="100"/>
        <c:noMultiLvlLbl val="0"/>
      </c:catAx>
      <c:valAx>
        <c:axId val="-3008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Mandarinos híbridos: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'MH-EDAD'!$A$30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'MH-EDAD'!$B$29:$W$29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'MH-EDAD'!$B$30:$W$30</c:f>
              <c:numCache>
                <c:formatCode>0%</c:formatCode>
                <c:ptCount val="22"/>
                <c:pt idx="0">
                  <c:v>0.10491241895910175</c:v>
                </c:pt>
                <c:pt idx="1">
                  <c:v>2.6359618478137229E-2</c:v>
                </c:pt>
                <c:pt idx="2">
                  <c:v>2.234007116975123E-2</c:v>
                </c:pt>
                <c:pt idx="3">
                  <c:v>2.7393448483174362E-2</c:v>
                </c:pt>
                <c:pt idx="4">
                  <c:v>2.620728596266025E-2</c:v>
                </c:pt>
                <c:pt idx="5">
                  <c:v>6.6404790146726678E-2</c:v>
                </c:pt>
                <c:pt idx="6">
                  <c:v>4.6615780836163329E-2</c:v>
                </c:pt>
                <c:pt idx="7">
                  <c:v>1.9663081097769038E-2</c:v>
                </c:pt>
                <c:pt idx="8">
                  <c:v>3.8479193409486044E-2</c:v>
                </c:pt>
                <c:pt idx="9">
                  <c:v>4.4877159059519355E-2</c:v>
                </c:pt>
                <c:pt idx="10">
                  <c:v>2.4105097249077879E-2</c:v>
                </c:pt>
                <c:pt idx="11">
                  <c:v>6.0163219212583059E-2</c:v>
                </c:pt>
                <c:pt idx="12">
                  <c:v>2.475911151552573E-2</c:v>
                </c:pt>
                <c:pt idx="13">
                  <c:v>5.6003525989958225E-2</c:v>
                </c:pt>
                <c:pt idx="14">
                  <c:v>2.6562728498773214E-2</c:v>
                </c:pt>
                <c:pt idx="15">
                  <c:v>5.1338088815949819E-2</c:v>
                </c:pt>
                <c:pt idx="16">
                  <c:v>0.11670498675722665</c:v>
                </c:pt>
                <c:pt idx="17">
                  <c:v>6.0045415400614199E-2</c:v>
                </c:pt>
                <c:pt idx="18">
                  <c:v>6.5171912321466283E-2</c:v>
                </c:pt>
                <c:pt idx="19">
                  <c:v>4.3546788424353694E-2</c:v>
                </c:pt>
                <c:pt idx="20">
                  <c:v>3.4398713094909251E-2</c:v>
                </c:pt>
                <c:pt idx="21">
                  <c:v>1.2312529450952991E-2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43E-4C5F-AACF-566315A3ABF9}"/>
            </c:ext>
          </c:extLst>
        </c:ser>
        <c:ser>
          <c:idx val="1"/>
          <c:order val="1"/>
          <c:tx>
            <c:strRef>
              <c:f>'MH-EDAD'!$A$31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'MH-EDAD'!$B$29:$W$29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'MH-EDAD'!$B$31:$W$31</c:f>
              <c:numCache>
                <c:formatCode>0%</c:formatCode>
                <c:ptCount val="22"/>
                <c:pt idx="0">
                  <c:v>0.34163627822904424</c:v>
                </c:pt>
                <c:pt idx="1">
                  <c:v>8.1813211392216298E-2</c:v>
                </c:pt>
                <c:pt idx="2">
                  <c:v>1.5073691815388576E-2</c:v>
                </c:pt>
                <c:pt idx="3">
                  <c:v>1.9667485503507647E-2</c:v>
                </c:pt>
                <c:pt idx="4">
                  <c:v>2.3296596518321614E-2</c:v>
                </c:pt>
                <c:pt idx="5">
                  <c:v>5.0517029309411807E-2</c:v>
                </c:pt>
                <c:pt idx="6">
                  <c:v>4.1812483329821362E-2</c:v>
                </c:pt>
                <c:pt idx="7">
                  <c:v>1.6167185527799728E-2</c:v>
                </c:pt>
                <c:pt idx="8">
                  <c:v>1.7467896998772794E-2</c:v>
                </c:pt>
                <c:pt idx="9">
                  <c:v>1.9449066785023478E-2</c:v>
                </c:pt>
                <c:pt idx="10">
                  <c:v>2.1001099794252364E-2</c:v>
                </c:pt>
                <c:pt idx="11">
                  <c:v>3.5759764611827227E-2</c:v>
                </c:pt>
                <c:pt idx="12">
                  <c:v>2.0994099194300949E-2</c:v>
                </c:pt>
                <c:pt idx="13">
                  <c:v>3.0201988310398196E-2</c:v>
                </c:pt>
                <c:pt idx="14">
                  <c:v>3.0346900729392501E-2</c:v>
                </c:pt>
                <c:pt idx="15">
                  <c:v>3.8935936809784591E-2</c:v>
                </c:pt>
                <c:pt idx="16">
                  <c:v>4.6841014274923348E-2</c:v>
                </c:pt>
                <c:pt idx="17">
                  <c:v>3.0468011108552E-2</c:v>
                </c:pt>
                <c:pt idx="18">
                  <c:v>3.621200336868869E-2</c:v>
                </c:pt>
                <c:pt idx="19">
                  <c:v>4.0665785057779451E-2</c:v>
                </c:pt>
                <c:pt idx="20">
                  <c:v>2.3931550933915035E-2</c:v>
                </c:pt>
                <c:pt idx="21">
                  <c:v>1.5234005554276E-2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43E-4C5F-AACF-566315A3A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81712"/>
        <c:axId val="-30086608"/>
      </c:barChart>
      <c:catAx>
        <c:axId val="-30081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6608"/>
        <c:crosses val="autoZero"/>
        <c:auto val="1"/>
        <c:lblAlgn val="ctr"/>
        <c:lblOffset val="100"/>
        <c:noMultiLvlLbl val="0"/>
      </c:catAx>
      <c:valAx>
        <c:axId val="-3008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1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 híbridos: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'MH-EDAD'!$B$3:$W$3</c15:sqref>
                  </c15:fullRef>
                </c:ext>
              </c:extLst>
              <c:f>'MH-EDAD'!$C$3:$W$3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'MH-EDAD'!$B$4:$W$4</c15:sqref>
                  </c15:fullRef>
                </c:ext>
              </c:extLst>
              <c:f>'MH-EDAD'!$C$4:$W$4</c:f>
              <c:numCache>
                <c:formatCode>#,##0</c:formatCode>
                <c:ptCount val="21"/>
                <c:pt idx="0">
                  <c:v>129.77999999999997</c:v>
                </c:pt>
                <c:pt idx="1">
                  <c:v>109.99000000000001</c:v>
                </c:pt>
                <c:pt idx="2">
                  <c:v>134.87</c:v>
                </c:pt>
                <c:pt idx="3">
                  <c:v>129.03</c:v>
                </c:pt>
                <c:pt idx="4">
                  <c:v>326.94</c:v>
                </c:pt>
                <c:pt idx="5">
                  <c:v>229.51</c:v>
                </c:pt>
                <c:pt idx="6">
                  <c:v>96.81</c:v>
                </c:pt>
                <c:pt idx="7">
                  <c:v>189.45</c:v>
                </c:pt>
                <c:pt idx="8">
                  <c:v>220.95</c:v>
                </c:pt>
                <c:pt idx="9">
                  <c:v>118.68</c:v>
                </c:pt>
                <c:pt idx="10">
                  <c:v>296.20999999999998</c:v>
                </c:pt>
                <c:pt idx="11">
                  <c:v>121.9</c:v>
                </c:pt>
                <c:pt idx="12">
                  <c:v>275.72999999999996</c:v>
                </c:pt>
                <c:pt idx="13">
                  <c:v>130.78</c:v>
                </c:pt>
                <c:pt idx="14">
                  <c:v>252.76</c:v>
                </c:pt>
                <c:pt idx="15">
                  <c:v>574.59</c:v>
                </c:pt>
                <c:pt idx="16">
                  <c:v>295.63</c:v>
                </c:pt>
                <c:pt idx="17">
                  <c:v>320.87</c:v>
                </c:pt>
                <c:pt idx="18">
                  <c:v>214.39999999999998</c:v>
                </c:pt>
                <c:pt idx="19">
                  <c:v>169.36</c:v>
                </c:pt>
                <c:pt idx="20">
                  <c:v>60.62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E-4C40-95FC-773F9DE67E5F}"/>
            </c:ext>
          </c:extLst>
        </c:ser>
        <c:ser>
          <c:idx val="1"/>
          <c:order val="1"/>
          <c:tx>
            <c:strRef>
              <c:f>'MH-EDAD'!$A$12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'MH-EDAD'!$B$3:$W$3</c15:sqref>
                  </c15:fullRef>
                </c:ext>
              </c:extLst>
              <c:f>'MH-EDAD'!$C$3:$W$3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'MH-EDAD'!$B$12:$W$12</c15:sqref>
                  </c15:fullRef>
                </c:ext>
              </c:extLst>
              <c:f>'MH-EDAD'!$C$12:$W$12</c:f>
              <c:numCache>
                <c:formatCode>#,##0</c:formatCode>
                <c:ptCount val="21"/>
                <c:pt idx="0">
                  <c:v>1168.6599999999999</c:v>
                </c:pt>
                <c:pt idx="1">
                  <c:v>215.32</c:v>
                </c:pt>
                <c:pt idx="2">
                  <c:v>280.94</c:v>
                </c:pt>
                <c:pt idx="3">
                  <c:v>332.78</c:v>
                </c:pt>
                <c:pt idx="4">
                  <c:v>721.6099999999999</c:v>
                </c:pt>
                <c:pt idx="5">
                  <c:v>597.27</c:v>
                </c:pt>
                <c:pt idx="6">
                  <c:v>230.93999999999997</c:v>
                </c:pt>
                <c:pt idx="7">
                  <c:v>249.52</c:v>
                </c:pt>
                <c:pt idx="8">
                  <c:v>277.82000000000005</c:v>
                </c:pt>
                <c:pt idx="9">
                  <c:v>299.99</c:v>
                </c:pt>
                <c:pt idx="10">
                  <c:v>510.81</c:v>
                </c:pt>
                <c:pt idx="11">
                  <c:v>299.89</c:v>
                </c:pt>
                <c:pt idx="12">
                  <c:v>431.41999999999996</c:v>
                </c:pt>
                <c:pt idx="13">
                  <c:v>433.48999999999995</c:v>
                </c:pt>
                <c:pt idx="14">
                  <c:v>556.17999999999995</c:v>
                </c:pt>
                <c:pt idx="15">
                  <c:v>669.09999999999991</c:v>
                </c:pt>
                <c:pt idx="16">
                  <c:v>435.22</c:v>
                </c:pt>
                <c:pt idx="17">
                  <c:v>517.27</c:v>
                </c:pt>
                <c:pt idx="18">
                  <c:v>580.8900000000001</c:v>
                </c:pt>
                <c:pt idx="19">
                  <c:v>341.85</c:v>
                </c:pt>
                <c:pt idx="20">
                  <c:v>217.61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EFE-4C40-95FC-773F9DE67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83344"/>
        <c:axId val="-30085520"/>
      </c:barChart>
      <c:catAx>
        <c:axId val="-30083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5520"/>
        <c:crosses val="autoZero"/>
        <c:auto val="1"/>
        <c:lblAlgn val="ctr"/>
        <c:lblOffset val="100"/>
        <c:noMultiLvlLbl val="0"/>
      </c:catAx>
      <c:valAx>
        <c:axId val="-300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28F-40AB-A9F1-184861E0D70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28F-40AB-A9F1-184861E0D70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'SAT-EDAD'!$A$25:$A$30</c15:sqref>
                  </c15:fullRef>
                </c:ext>
              </c:extLst>
              <c:f>('SAT-EDAD'!$A$26,'SAT-EDAD'!$A$30)</c:f>
              <c:strCache>
                <c:ptCount val="2"/>
                <c:pt idx="0">
                  <c:v>C. VALENCIANA</c:v>
                </c:pt>
                <c:pt idx="1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'SAT-EDAD'!$X$25:$X$30</c15:sqref>
                  </c15:fullRef>
                </c:ext>
              </c:extLst>
              <c:f>('SAT-EDAD'!$X$26,'SAT-EDAD'!$X$30)</c:f>
              <c:numCache>
                <c:formatCode>0.00%</c:formatCode>
                <c:ptCount val="2"/>
                <c:pt idx="0">
                  <c:v>1.6671372903371547E-3</c:v>
                </c:pt>
                <c:pt idx="1">
                  <c:v>1.5419201711573177E-3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8F-40AB-A9F1-184861E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30082800"/>
        <c:axId val="-30081168"/>
      </c:barChart>
      <c:catAx>
        <c:axId val="-30082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1168"/>
        <c:crosses val="autoZero"/>
        <c:auto val="1"/>
        <c:lblAlgn val="ctr"/>
        <c:lblOffset val="100"/>
        <c:noMultiLvlLbl val="0"/>
      </c:catAx>
      <c:valAx>
        <c:axId val="-300811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82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'SAT-EDAD'!$A$20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'SAT-EDAD'!$B$3:$W$3</c15:sqref>
                  </c15:fullRef>
                </c:ext>
              </c:extLst>
              <c:f>'SAT-EDAD'!$C$3:$W$3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'SAT-EDAD'!$B$20:$W$20</c15:sqref>
                  </c15:fullRef>
                </c:ext>
              </c:extLst>
              <c:f>'SAT-EDAD'!$C$20:$W$20</c:f>
              <c:numCache>
                <c:formatCode>#,##0</c:formatCode>
                <c:ptCount val="21"/>
                <c:pt idx="0">
                  <c:v>266.92</c:v>
                </c:pt>
                <c:pt idx="1">
                  <c:v>56.86999999999999</c:v>
                </c:pt>
                <c:pt idx="2">
                  <c:v>60.13</c:v>
                </c:pt>
                <c:pt idx="3">
                  <c:v>51.890000000000008</c:v>
                </c:pt>
                <c:pt idx="4">
                  <c:v>131.21</c:v>
                </c:pt>
                <c:pt idx="5">
                  <c:v>91.97999999999999</c:v>
                </c:pt>
                <c:pt idx="6">
                  <c:v>56.24</c:v>
                </c:pt>
                <c:pt idx="7">
                  <c:v>83.990000000000009</c:v>
                </c:pt>
                <c:pt idx="8">
                  <c:v>86.11</c:v>
                </c:pt>
                <c:pt idx="9">
                  <c:v>93.240000000000009</c:v>
                </c:pt>
                <c:pt idx="10">
                  <c:v>252.42000000000002</c:v>
                </c:pt>
                <c:pt idx="11">
                  <c:v>205.96</c:v>
                </c:pt>
                <c:pt idx="12">
                  <c:v>254.55999999999997</c:v>
                </c:pt>
                <c:pt idx="13">
                  <c:v>268.96000000000004</c:v>
                </c:pt>
                <c:pt idx="14">
                  <c:v>306.16999999999996</c:v>
                </c:pt>
                <c:pt idx="15">
                  <c:v>274.39</c:v>
                </c:pt>
                <c:pt idx="16">
                  <c:v>178.13</c:v>
                </c:pt>
                <c:pt idx="17">
                  <c:v>121.73000000000002</c:v>
                </c:pt>
                <c:pt idx="18">
                  <c:v>60.02</c:v>
                </c:pt>
                <c:pt idx="19">
                  <c:v>44.42</c:v>
                </c:pt>
                <c:pt idx="20">
                  <c:v>18.39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5B-432A-A503-8CDC9BE8ED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0076816"/>
        <c:axId val="-30076272"/>
      </c:barChart>
      <c:catAx>
        <c:axId val="-3007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6272"/>
        <c:crosses val="autoZero"/>
        <c:auto val="1"/>
        <c:lblAlgn val="ctr"/>
        <c:lblOffset val="100"/>
        <c:noMultiLvlLbl val="0"/>
      </c:catAx>
      <c:valAx>
        <c:axId val="-3007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007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Satsumas: Andalucía y C. Valenciana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'SAT-EDAD'!$A$25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'SAT-EDAD'!$B$24:$W$24</c15:sqref>
                  </c15:fullRef>
                </c:ext>
              </c:extLst>
              <c:f>'SAT-EDAD'!$C$24:$W$24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'SAT-EDAD'!$B$25:$W$25</c15:sqref>
                  </c15:fullRef>
                </c:ext>
              </c:extLst>
              <c:f>'SAT-EDAD'!$C$25:$W$25</c:f>
              <c:numCache>
                <c:formatCode>0%</c:formatCode>
                <c:ptCount val="21"/>
                <c:pt idx="0">
                  <c:v>5.1155963302752294E-2</c:v>
                </c:pt>
                <c:pt idx="1">
                  <c:v>9.6146788990825696E-2</c:v>
                </c:pt>
                <c:pt idx="2">
                  <c:v>3.9339449541284405E-2</c:v>
                </c:pt>
                <c:pt idx="3">
                  <c:v>2.2532110091743118E-2</c:v>
                </c:pt>
                <c:pt idx="4">
                  <c:v>1.541284403669725E-3</c:v>
                </c:pt>
                <c:pt idx="5">
                  <c:v>0</c:v>
                </c:pt>
                <c:pt idx="6">
                  <c:v>0</c:v>
                </c:pt>
                <c:pt idx="7">
                  <c:v>9.9963302752293579E-2</c:v>
                </c:pt>
                <c:pt idx="8">
                  <c:v>0.13489908256880737</c:v>
                </c:pt>
                <c:pt idx="9">
                  <c:v>0</c:v>
                </c:pt>
                <c:pt idx="10">
                  <c:v>1.5926605504587157E-2</c:v>
                </c:pt>
                <c:pt idx="11">
                  <c:v>2.620183486238532E-2</c:v>
                </c:pt>
                <c:pt idx="12">
                  <c:v>5.6513761467889912E-3</c:v>
                </c:pt>
                <c:pt idx="13">
                  <c:v>2.2532110091743118E-2</c:v>
                </c:pt>
                <c:pt idx="14">
                  <c:v>0</c:v>
                </c:pt>
                <c:pt idx="15">
                  <c:v>0.13181651376146789</c:v>
                </c:pt>
                <c:pt idx="16">
                  <c:v>5.1522935779816516E-2</c:v>
                </c:pt>
                <c:pt idx="17">
                  <c:v>0</c:v>
                </c:pt>
                <c:pt idx="18">
                  <c:v>0</c:v>
                </c:pt>
                <c:pt idx="19">
                  <c:v>2.4220183486238535E-3</c:v>
                </c:pt>
                <c:pt idx="2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94-4A9F-8D88-A5D2506FDA88}"/>
            </c:ext>
          </c:extLst>
        </c:ser>
        <c:ser>
          <c:idx val="1"/>
          <c:order val="1"/>
          <c:tx>
            <c:strRef>
              <c:f>'SAT-EDAD'!$A$26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'SAT-EDAD'!$B$24:$W$24</c15:sqref>
                  </c15:fullRef>
                </c:ext>
              </c:extLst>
              <c:f>'SAT-EDAD'!$C$24:$W$24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'SAT-EDAD'!$B$26:$W$26</c15:sqref>
                  </c15:fullRef>
                </c:ext>
              </c:extLst>
              <c:f>'SAT-EDAD'!$C$26:$W$26</c:f>
              <c:numCache>
                <c:formatCode>0%</c:formatCode>
                <c:ptCount val="21"/>
                <c:pt idx="0">
                  <c:v>5.768340204438923E-2</c:v>
                </c:pt>
                <c:pt idx="1">
                  <c:v>9.8876150674874312E-3</c:v>
                </c:pt>
                <c:pt idx="2">
                  <c:v>1.1039701812842379E-2</c:v>
                </c:pt>
                <c:pt idx="3">
                  <c:v>1.1028406844750663E-2</c:v>
                </c:pt>
                <c:pt idx="4">
                  <c:v>2.808380866324053E-2</c:v>
                </c:pt>
                <c:pt idx="5">
                  <c:v>1.8223301519173205E-2</c:v>
                </c:pt>
                <c:pt idx="6">
                  <c:v>1.2532896594567119E-2</c:v>
                </c:pt>
                <c:pt idx="7">
                  <c:v>1.5327271700457445E-2</c:v>
                </c:pt>
                <c:pt idx="8">
                  <c:v>1.5300163777037331E-2</c:v>
                </c:pt>
                <c:pt idx="9">
                  <c:v>2.0760151352572427E-2</c:v>
                </c:pt>
                <c:pt idx="10">
                  <c:v>5.1538939402496188E-2</c:v>
                </c:pt>
                <c:pt idx="11">
                  <c:v>3.7128819111086009E-2</c:v>
                </c:pt>
                <c:pt idx="12">
                  <c:v>5.68792003162591E-2</c:v>
                </c:pt>
                <c:pt idx="13">
                  <c:v>5.9974021573389054E-2</c:v>
                </c:pt>
                <c:pt idx="14">
                  <c:v>6.6674196645394465E-2</c:v>
                </c:pt>
                <c:pt idx="15">
                  <c:v>5.6657818941661484E-2</c:v>
                </c:pt>
                <c:pt idx="16">
                  <c:v>3.2165810131586377E-2</c:v>
                </c:pt>
                <c:pt idx="17">
                  <c:v>2.7498729316089678E-2</c:v>
                </c:pt>
                <c:pt idx="18">
                  <c:v>1.2934997458632181E-2</c:v>
                </c:pt>
                <c:pt idx="19">
                  <c:v>9.9599028632744117E-3</c:v>
                </c:pt>
                <c:pt idx="20">
                  <c:v>4.1542892641328287E-3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94-4A9F-8D88-A5D2506FD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70096"/>
        <c:axId val="-34401104"/>
      </c:barChart>
      <c:catAx>
        <c:axId val="-3437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401104"/>
        <c:crosses val="autoZero"/>
        <c:auto val="1"/>
        <c:lblAlgn val="ctr"/>
        <c:lblOffset val="100"/>
        <c:noMultiLvlLbl val="0"/>
      </c:catAx>
      <c:valAx>
        <c:axId val="-3440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'SAT-EDAD'!$B$3:$W$3</c15:sqref>
                  </c15:fullRef>
                </c:ext>
              </c:extLst>
              <c:f>'SAT-EDAD'!$C$3:$W$3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'SAT-EDAD'!$B$4:$W$4</c15:sqref>
                  </c15:fullRef>
                </c:ext>
              </c:extLst>
              <c:f>'SAT-EDAD'!$C$4:$W$4</c:f>
              <c:numCache>
                <c:formatCode>#,##0</c:formatCode>
                <c:ptCount val="21"/>
                <c:pt idx="0">
                  <c:v>6.97</c:v>
                </c:pt>
                <c:pt idx="1">
                  <c:v>13.100000000000001</c:v>
                </c:pt>
                <c:pt idx="2">
                  <c:v>5.36</c:v>
                </c:pt>
                <c:pt idx="3">
                  <c:v>3.07</c:v>
                </c:pt>
                <c:pt idx="4">
                  <c:v>0.21000000000000002</c:v>
                </c:pt>
                <c:pt idx="7">
                  <c:v>13.620000000000001</c:v>
                </c:pt>
                <c:pt idx="8">
                  <c:v>18.380000000000003</c:v>
                </c:pt>
                <c:pt idx="10">
                  <c:v>2.17</c:v>
                </c:pt>
                <c:pt idx="11">
                  <c:v>3.57</c:v>
                </c:pt>
                <c:pt idx="12">
                  <c:v>0.77</c:v>
                </c:pt>
                <c:pt idx="13">
                  <c:v>3.07</c:v>
                </c:pt>
                <c:pt idx="15">
                  <c:v>17.96</c:v>
                </c:pt>
                <c:pt idx="16">
                  <c:v>7.0200000000000005</c:v>
                </c:pt>
                <c:pt idx="19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7-4D24-B5CB-C607BB53E662}"/>
            </c:ext>
          </c:extLst>
        </c:ser>
        <c:ser>
          <c:idx val="1"/>
          <c:order val="1"/>
          <c:tx>
            <c:strRef>
              <c:f>'SAT-EDAD'!$A$10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'SAT-EDAD'!$B$3:$W$3</c15:sqref>
                  </c15:fullRef>
                </c:ext>
              </c:extLst>
              <c:f>'SAT-EDAD'!$C$3:$W$3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'SAT-EDAD'!$B$10:$W$10</c15:sqref>
                  </c15:fullRef>
                </c:ext>
              </c:extLst>
              <c:f>'SAT-EDAD'!$C$10:$W$10</c:f>
              <c:numCache>
                <c:formatCode>#,##0</c:formatCode>
                <c:ptCount val="21"/>
                <c:pt idx="0">
                  <c:v>255.35000000000002</c:v>
                </c:pt>
                <c:pt idx="1">
                  <c:v>43.769999999999989</c:v>
                </c:pt>
                <c:pt idx="2">
                  <c:v>48.870000000000005</c:v>
                </c:pt>
                <c:pt idx="3">
                  <c:v>48.82</c:v>
                </c:pt>
                <c:pt idx="4">
                  <c:v>124.32000000000002</c:v>
                </c:pt>
                <c:pt idx="5">
                  <c:v>80.669999999999987</c:v>
                </c:pt>
                <c:pt idx="6">
                  <c:v>55.48</c:v>
                </c:pt>
                <c:pt idx="7">
                  <c:v>67.849999999999994</c:v>
                </c:pt>
                <c:pt idx="8">
                  <c:v>67.73</c:v>
                </c:pt>
                <c:pt idx="9">
                  <c:v>91.899999999999991</c:v>
                </c:pt>
                <c:pt idx="10">
                  <c:v>228.15</c:v>
                </c:pt>
                <c:pt idx="11">
                  <c:v>164.35999999999999</c:v>
                </c:pt>
                <c:pt idx="12">
                  <c:v>251.78999999999996</c:v>
                </c:pt>
                <c:pt idx="13">
                  <c:v>265.49</c:v>
                </c:pt>
                <c:pt idx="14">
                  <c:v>295.14999999999998</c:v>
                </c:pt>
                <c:pt idx="15">
                  <c:v>250.80999999999997</c:v>
                </c:pt>
                <c:pt idx="16">
                  <c:v>142.38999999999999</c:v>
                </c:pt>
                <c:pt idx="17">
                  <c:v>121.72999999999999</c:v>
                </c:pt>
                <c:pt idx="18">
                  <c:v>57.260000000000005</c:v>
                </c:pt>
                <c:pt idx="19">
                  <c:v>44.09</c:v>
                </c:pt>
                <c:pt idx="20">
                  <c:v>18.39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0E7-4D24-B5CB-C607BB53E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400560"/>
        <c:axId val="-2059320448"/>
      </c:barChart>
      <c:catAx>
        <c:axId val="-344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0448"/>
        <c:crosses val="autoZero"/>
        <c:auto val="1"/>
        <c:lblAlgn val="ctr"/>
        <c:lblOffset val="100"/>
        <c:noMultiLvlLbl val="0"/>
      </c:catAx>
      <c:valAx>
        <c:axId val="-205932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40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Naranjo:</a:t>
            </a:r>
            <a:r>
              <a:rPr lang="en-US" baseline="0"/>
              <a:t> </a:t>
            </a:r>
            <a:r>
              <a:rPr lang="en-US"/>
              <a:t>Representatividad de la información 
RSU REGEPA vs Superficies</a:t>
            </a:r>
            <a:r>
              <a:rPr lang="en-US" baseline="0"/>
              <a:t> anuales </a:t>
            </a:r>
            <a:endParaRPr lang="en-US"/>
          </a:p>
        </c:rich>
      </c:tx>
      <c:layout>
        <c:manualLayout>
          <c:xMode val="edge"/>
          <c:yMode val="edge"/>
          <c:x val="0.12356933508311461"/>
          <c:y val="4.16665602344768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('NAR-REPR'!$A$8,'NAR-REPR'!$A$19,'NAR-REPR'!$A$25,'NAR-REPR'!$A$27,'NAR-REPR'!$A$31,'NAR-REPR'!$A$34,'NAR-REPR'!$A$39,'NAR-REPR'!$A$41,'NAR-REPR'!$A$44,'NAR-REPR'!$A$48)</c15:sqref>
                  </c15:fullRef>
                </c:ext>
              </c:extLst>
              <c:f>('NAR-REPR'!$A$8,'NAR-REPR'!$A$19,'NAR-REPR'!$A$27,'NAR-REPR'!$A$39,'NAR-REPR'!$A$44,'NAR-REPR'!$A$48)</c:f>
              <c:strCache>
                <c:ptCount val="6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  <c:pt idx="5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('NAR-REPR'!$F$8,'NAR-REPR'!$F$19,'NAR-REPR'!$F$25,'NAR-REPR'!$F$27,'NAR-REPR'!$F$31,'NAR-REPR'!$F$34,'NAR-REPR'!$F$39,'NAR-REPR'!$F$41,'NAR-REPR'!$F$44,'NAR-REPR'!$F$48)</c15:sqref>
                  </c15:fullRef>
                </c:ext>
              </c:extLst>
              <c:f>('NAR-REPR'!$F$8,'NAR-REPR'!$F$19,'NAR-REPR'!$F$27,'NAR-REPR'!$F$39,'NAR-REPR'!$F$44,'NAR-REPR'!$F$48)</c:f>
              <c:numCache>
                <c:formatCode>0%</c:formatCode>
                <c:ptCount val="6"/>
                <c:pt idx="0">
                  <c:v>0.86439286270034743</c:v>
                </c:pt>
                <c:pt idx="1">
                  <c:v>0.68792150563618526</c:v>
                </c:pt>
                <c:pt idx="2">
                  <c:v>0.87704753199268726</c:v>
                </c:pt>
                <c:pt idx="3">
                  <c:v>0.43345855694692897</c:v>
                </c:pt>
                <c:pt idx="4">
                  <c:v>0.78213378019829671</c:v>
                </c:pt>
                <c:pt idx="5">
                  <c:v>0.76034351525863408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00-4B61-9B5F-3EEE93B2C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34377712"/>
        <c:axId val="-34390768"/>
      </c:barChart>
      <c:catAx>
        <c:axId val="-3437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90768"/>
        <c:crosses val="autoZero"/>
        <c:auto val="1"/>
        <c:lblAlgn val="ctr"/>
        <c:lblOffset val="100"/>
        <c:noMultiLvlLbl val="0"/>
      </c:catAx>
      <c:valAx>
        <c:axId val="-3439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3437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753-4BAE-854F-6A3C6E17EDC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'LIM-EDAD'!$A$44:$A$56</c15:sqref>
                  </c15:fullRef>
                </c:ext>
              </c:extLst>
              <c:f>('LIM-EDAD'!$A$44,'LIM-EDAD'!$A$47,'LIM-EDAD'!$A$53,'LIM-EDAD'!$A$55:$A$56)</c:f>
              <c:strCache>
                <c:ptCount val="5"/>
                <c:pt idx="0">
                  <c:v>ANDALUCIA</c:v>
                </c:pt>
                <c:pt idx="1">
                  <c:v>C. VALENCIANA</c:v>
                </c:pt>
                <c:pt idx="2">
                  <c:v>I.BALEARES</c:v>
                </c:pt>
                <c:pt idx="3">
                  <c:v>MURCIA</c:v>
                </c:pt>
                <c:pt idx="4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'LIM-EDAD'!$X$44:$X$56</c15:sqref>
                  </c15:fullRef>
                </c:ext>
              </c:extLst>
              <c:f>('LIM-EDAD'!$X$44,'LIM-EDAD'!$X$47,'LIM-EDAD'!$X$53,'LIM-EDAD'!$X$55:$X$56)</c:f>
              <c:numCache>
                <c:formatCode>0.00%</c:formatCode>
                <c:ptCount val="5"/>
                <c:pt idx="0">
                  <c:v>4.3252858648439545E-4</c:v>
                </c:pt>
                <c:pt idx="1" formatCode="0.0%">
                  <c:v>1.3696275257507922E-2</c:v>
                </c:pt>
                <c:pt idx="2" formatCode="0.0%">
                  <c:v>3.1479538300104928E-3</c:v>
                </c:pt>
                <c:pt idx="3">
                  <c:v>1.4771305723777411E-2</c:v>
                </c:pt>
                <c:pt idx="4">
                  <c:v>1.4567840854183117E-2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AD-4D74-BEEE-590396BA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9316096"/>
        <c:axId val="-2059332960"/>
      </c:barChart>
      <c:catAx>
        <c:axId val="-2059316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2960"/>
        <c:crosses val="autoZero"/>
        <c:auto val="1"/>
        <c:lblAlgn val="ctr"/>
        <c:lblOffset val="100"/>
        <c:noMultiLvlLbl val="0"/>
      </c:catAx>
      <c:valAx>
        <c:axId val="-2059332960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-205931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Limonero: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'LIM-EDAD'!$A$39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'LIM-EDAD'!$B$39:$W$39</c:f>
              <c:numCache>
                <c:formatCode>#,##0</c:formatCode>
                <c:ptCount val="22"/>
                <c:pt idx="0">
                  <c:v>9760.7400000000016</c:v>
                </c:pt>
                <c:pt idx="1">
                  <c:v>2388.66</c:v>
                </c:pt>
                <c:pt idx="2">
                  <c:v>553.43000000000006</c:v>
                </c:pt>
                <c:pt idx="3">
                  <c:v>445.33999999999992</c:v>
                </c:pt>
                <c:pt idx="4">
                  <c:v>396.46</c:v>
                </c:pt>
                <c:pt idx="5">
                  <c:v>424.09000000000009</c:v>
                </c:pt>
                <c:pt idx="6">
                  <c:v>855.99</c:v>
                </c:pt>
                <c:pt idx="7">
                  <c:v>202.19000000000003</c:v>
                </c:pt>
                <c:pt idx="8">
                  <c:v>295.96000000000004</c:v>
                </c:pt>
                <c:pt idx="9">
                  <c:v>310.56</c:v>
                </c:pt>
                <c:pt idx="10">
                  <c:v>300.73000000000008</c:v>
                </c:pt>
                <c:pt idx="11">
                  <c:v>1041.92</c:v>
                </c:pt>
                <c:pt idx="12">
                  <c:v>539.64</c:v>
                </c:pt>
                <c:pt idx="13">
                  <c:v>568.47</c:v>
                </c:pt>
                <c:pt idx="14">
                  <c:v>843.21999999999991</c:v>
                </c:pt>
                <c:pt idx="15">
                  <c:v>1205.07</c:v>
                </c:pt>
                <c:pt idx="16">
                  <c:v>1479.94</c:v>
                </c:pt>
                <c:pt idx="17">
                  <c:v>1131.56</c:v>
                </c:pt>
                <c:pt idx="18">
                  <c:v>1255.03</c:v>
                </c:pt>
                <c:pt idx="19">
                  <c:v>1418.9500000000003</c:v>
                </c:pt>
                <c:pt idx="20">
                  <c:v>1029.31</c:v>
                </c:pt>
                <c:pt idx="21">
                  <c:v>310.14000000000004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0-4182-B825-8C4581953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12288"/>
        <c:axId val="-2059317728"/>
      </c:barChart>
      <c:catAx>
        <c:axId val="-205931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7728"/>
        <c:crosses val="autoZero"/>
        <c:auto val="1"/>
        <c:lblAlgn val="ctr"/>
        <c:lblOffset val="100"/>
        <c:noMultiLvlLbl val="0"/>
      </c:catAx>
      <c:valAx>
        <c:axId val="-205931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'LIM-EDAD'!$B$3:$W$3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'LIM-EDAD'!$B$37:$W$37</c:f>
              <c:numCache>
                <c:formatCode>#,##0</c:formatCode>
                <c:ptCount val="22"/>
                <c:pt idx="0">
                  <c:v>5108.78</c:v>
                </c:pt>
                <c:pt idx="1">
                  <c:v>1335.46</c:v>
                </c:pt>
                <c:pt idx="2">
                  <c:v>406.90000000000003</c:v>
                </c:pt>
                <c:pt idx="3">
                  <c:v>228.71</c:v>
                </c:pt>
                <c:pt idx="4">
                  <c:v>273.84000000000003</c:v>
                </c:pt>
                <c:pt idx="5">
                  <c:v>261.94</c:v>
                </c:pt>
                <c:pt idx="6">
                  <c:v>386.01</c:v>
                </c:pt>
                <c:pt idx="7">
                  <c:v>124.32</c:v>
                </c:pt>
                <c:pt idx="8">
                  <c:v>123.17999999999999</c:v>
                </c:pt>
                <c:pt idx="9">
                  <c:v>57.16</c:v>
                </c:pt>
                <c:pt idx="10">
                  <c:v>189.84</c:v>
                </c:pt>
                <c:pt idx="11">
                  <c:v>387.58000000000004</c:v>
                </c:pt>
                <c:pt idx="12">
                  <c:v>366.42</c:v>
                </c:pt>
                <c:pt idx="13">
                  <c:v>281.23</c:v>
                </c:pt>
                <c:pt idx="14">
                  <c:v>461.18999999999994</c:v>
                </c:pt>
                <c:pt idx="15">
                  <c:v>682.15000000000009</c:v>
                </c:pt>
                <c:pt idx="16">
                  <c:v>867.4</c:v>
                </c:pt>
                <c:pt idx="17">
                  <c:v>650.33000000000004</c:v>
                </c:pt>
                <c:pt idx="18">
                  <c:v>675.44</c:v>
                </c:pt>
                <c:pt idx="19">
                  <c:v>680.93</c:v>
                </c:pt>
                <c:pt idx="20">
                  <c:v>581.5100000000001</c:v>
                </c:pt>
                <c:pt idx="21">
                  <c:v>140.56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'LIM-EDAD'!$B$3:$W$3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'LIM-EDAD'!$B$16:$W$16</c:f>
              <c:numCache>
                <c:formatCode>#,##0</c:formatCode>
                <c:ptCount val="22"/>
                <c:pt idx="0">
                  <c:v>2948.8099999999995</c:v>
                </c:pt>
                <c:pt idx="1">
                  <c:v>804.87999999999988</c:v>
                </c:pt>
                <c:pt idx="2">
                  <c:v>82.160000000000011</c:v>
                </c:pt>
                <c:pt idx="3">
                  <c:v>122.25</c:v>
                </c:pt>
                <c:pt idx="4">
                  <c:v>74.759999999999991</c:v>
                </c:pt>
                <c:pt idx="5">
                  <c:v>111.29999999999998</c:v>
                </c:pt>
                <c:pt idx="6">
                  <c:v>439</c:v>
                </c:pt>
                <c:pt idx="7">
                  <c:v>67.009999999999991</c:v>
                </c:pt>
                <c:pt idx="8">
                  <c:v>170.04999999999998</c:v>
                </c:pt>
                <c:pt idx="9">
                  <c:v>227.51000000000002</c:v>
                </c:pt>
                <c:pt idx="10">
                  <c:v>89.3</c:v>
                </c:pt>
                <c:pt idx="11">
                  <c:v>591.16</c:v>
                </c:pt>
                <c:pt idx="12">
                  <c:v>158.01999999999998</c:v>
                </c:pt>
                <c:pt idx="13">
                  <c:v>226.04999999999998</c:v>
                </c:pt>
                <c:pt idx="14">
                  <c:v>317.58999999999997</c:v>
                </c:pt>
                <c:pt idx="15">
                  <c:v>375.18999999999994</c:v>
                </c:pt>
                <c:pt idx="16">
                  <c:v>466.89000000000004</c:v>
                </c:pt>
                <c:pt idx="17">
                  <c:v>391.31</c:v>
                </c:pt>
                <c:pt idx="18">
                  <c:v>436.87</c:v>
                </c:pt>
                <c:pt idx="19">
                  <c:v>604.07000000000005</c:v>
                </c:pt>
                <c:pt idx="20">
                  <c:v>315.30999999999995</c:v>
                </c:pt>
                <c:pt idx="21">
                  <c:v>103.06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'LIM-EDAD'!$B$4:$W$4</c:f>
              <c:numCache>
                <c:formatCode>#,##0</c:formatCode>
                <c:ptCount val="22"/>
                <c:pt idx="0">
                  <c:v>1679.9999999999998</c:v>
                </c:pt>
                <c:pt idx="1">
                  <c:v>241.84999999999997</c:v>
                </c:pt>
                <c:pt idx="2">
                  <c:v>64.150000000000006</c:v>
                </c:pt>
                <c:pt idx="3">
                  <c:v>88.210000000000008</c:v>
                </c:pt>
                <c:pt idx="4">
                  <c:v>47.83</c:v>
                </c:pt>
                <c:pt idx="5">
                  <c:v>50.39</c:v>
                </c:pt>
                <c:pt idx="6">
                  <c:v>30.4</c:v>
                </c:pt>
                <c:pt idx="7">
                  <c:v>7.5</c:v>
                </c:pt>
                <c:pt idx="8">
                  <c:v>2.7300000000000004</c:v>
                </c:pt>
                <c:pt idx="9">
                  <c:v>23.72</c:v>
                </c:pt>
                <c:pt idx="10">
                  <c:v>21.35</c:v>
                </c:pt>
                <c:pt idx="11">
                  <c:v>62.429999999999993</c:v>
                </c:pt>
                <c:pt idx="12">
                  <c:v>14.66</c:v>
                </c:pt>
                <c:pt idx="13">
                  <c:v>60.59</c:v>
                </c:pt>
                <c:pt idx="14">
                  <c:v>62.839999999999989</c:v>
                </c:pt>
                <c:pt idx="15">
                  <c:v>147.6</c:v>
                </c:pt>
                <c:pt idx="16">
                  <c:v>139.89000000000001</c:v>
                </c:pt>
                <c:pt idx="17">
                  <c:v>88.81</c:v>
                </c:pt>
                <c:pt idx="18">
                  <c:v>139.72</c:v>
                </c:pt>
                <c:pt idx="19">
                  <c:v>111.3</c:v>
                </c:pt>
                <c:pt idx="20">
                  <c:v>129.87</c:v>
                </c:pt>
                <c:pt idx="21">
                  <c:v>65.760000000000005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30240"/>
        <c:axId val="-2059329696"/>
      </c:barChart>
      <c:catAx>
        <c:axId val="-2059330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9696"/>
        <c:crosses val="autoZero"/>
        <c:auto val="1"/>
        <c:lblAlgn val="ctr"/>
        <c:lblOffset val="100"/>
        <c:noMultiLvlLbl val="0"/>
      </c:catAx>
      <c:valAx>
        <c:axId val="-205932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Limonero: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'LIM-EDAD'!$A$39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'LIM-EDAD'!$B$39:$W$39</c15:sqref>
                  </c15:fullRef>
                </c:ext>
              </c:extLst>
              <c:f>'LIM-EDAD'!$C$39:$W$39</c:f>
              <c:numCache>
                <c:formatCode>#,##0</c:formatCode>
                <c:ptCount val="21"/>
                <c:pt idx="0">
                  <c:v>2388.66</c:v>
                </c:pt>
                <c:pt idx="1">
                  <c:v>553.43000000000006</c:v>
                </c:pt>
                <c:pt idx="2">
                  <c:v>445.33999999999992</c:v>
                </c:pt>
                <c:pt idx="3">
                  <c:v>396.46</c:v>
                </c:pt>
                <c:pt idx="4">
                  <c:v>424.09000000000009</c:v>
                </c:pt>
                <c:pt idx="5">
                  <c:v>855.99</c:v>
                </c:pt>
                <c:pt idx="6">
                  <c:v>202.19000000000003</c:v>
                </c:pt>
                <c:pt idx="7">
                  <c:v>295.96000000000004</c:v>
                </c:pt>
                <c:pt idx="8">
                  <c:v>310.56</c:v>
                </c:pt>
                <c:pt idx="9">
                  <c:v>300.73000000000008</c:v>
                </c:pt>
                <c:pt idx="10">
                  <c:v>1041.92</c:v>
                </c:pt>
                <c:pt idx="11">
                  <c:v>539.64</c:v>
                </c:pt>
                <c:pt idx="12">
                  <c:v>568.47</c:v>
                </c:pt>
                <c:pt idx="13">
                  <c:v>843.21999999999991</c:v>
                </c:pt>
                <c:pt idx="14">
                  <c:v>1205.07</c:v>
                </c:pt>
                <c:pt idx="15">
                  <c:v>1479.94</c:v>
                </c:pt>
                <c:pt idx="16">
                  <c:v>1131.56</c:v>
                </c:pt>
                <c:pt idx="17">
                  <c:v>1255.03</c:v>
                </c:pt>
                <c:pt idx="18">
                  <c:v>1418.9500000000003</c:v>
                </c:pt>
                <c:pt idx="19">
                  <c:v>1029.31</c:v>
                </c:pt>
                <c:pt idx="20">
                  <c:v>310.14000000000004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80-4182-B825-8C4581953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24256"/>
        <c:axId val="-2059323712"/>
      </c:barChart>
      <c:catAx>
        <c:axId val="-2059324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3712"/>
        <c:crosses val="autoZero"/>
        <c:auto val="1"/>
        <c:lblAlgn val="ctr"/>
        <c:lblOffset val="100"/>
        <c:noMultiLvlLbl val="0"/>
      </c:catAx>
      <c:valAx>
        <c:axId val="-2059323712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'LIM-EDAD'!$B$37:$W$37</c15:sqref>
                  </c15:fullRef>
                </c:ext>
              </c:extLst>
              <c:f>'LIM-EDAD'!$C$37:$W$37</c:f>
              <c:numCache>
                <c:formatCode>#,##0</c:formatCode>
                <c:ptCount val="21"/>
                <c:pt idx="0">
                  <c:v>1335.46</c:v>
                </c:pt>
                <c:pt idx="1">
                  <c:v>406.90000000000003</c:v>
                </c:pt>
                <c:pt idx="2">
                  <c:v>228.71</c:v>
                </c:pt>
                <c:pt idx="3">
                  <c:v>273.84000000000003</c:v>
                </c:pt>
                <c:pt idx="4">
                  <c:v>261.94</c:v>
                </c:pt>
                <c:pt idx="5">
                  <c:v>386.01</c:v>
                </c:pt>
                <c:pt idx="6">
                  <c:v>124.32</c:v>
                </c:pt>
                <c:pt idx="7">
                  <c:v>123.17999999999999</c:v>
                </c:pt>
                <c:pt idx="8">
                  <c:v>57.16</c:v>
                </c:pt>
                <c:pt idx="9">
                  <c:v>189.84</c:v>
                </c:pt>
                <c:pt idx="10">
                  <c:v>387.58000000000004</c:v>
                </c:pt>
                <c:pt idx="11">
                  <c:v>366.42</c:v>
                </c:pt>
                <c:pt idx="12">
                  <c:v>281.23</c:v>
                </c:pt>
                <c:pt idx="13">
                  <c:v>461.18999999999994</c:v>
                </c:pt>
                <c:pt idx="14">
                  <c:v>682.15000000000009</c:v>
                </c:pt>
                <c:pt idx="15">
                  <c:v>867.4</c:v>
                </c:pt>
                <c:pt idx="16">
                  <c:v>650.33000000000004</c:v>
                </c:pt>
                <c:pt idx="17">
                  <c:v>675.44</c:v>
                </c:pt>
                <c:pt idx="18">
                  <c:v>680.93</c:v>
                </c:pt>
                <c:pt idx="19">
                  <c:v>581.5100000000001</c:v>
                </c:pt>
                <c:pt idx="20">
                  <c:v>140.56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'LIM-EDAD'!$B$16:$W$16</c15:sqref>
                  </c15:fullRef>
                </c:ext>
              </c:extLst>
              <c:f>'LIM-EDAD'!$C$16:$W$16</c:f>
              <c:numCache>
                <c:formatCode>#,##0</c:formatCode>
                <c:ptCount val="21"/>
                <c:pt idx="0">
                  <c:v>804.87999999999988</c:v>
                </c:pt>
                <c:pt idx="1">
                  <c:v>82.160000000000011</c:v>
                </c:pt>
                <c:pt idx="2">
                  <c:v>122.25</c:v>
                </c:pt>
                <c:pt idx="3">
                  <c:v>74.759999999999991</c:v>
                </c:pt>
                <c:pt idx="4">
                  <c:v>111.29999999999998</c:v>
                </c:pt>
                <c:pt idx="5">
                  <c:v>439</c:v>
                </c:pt>
                <c:pt idx="6">
                  <c:v>67.009999999999991</c:v>
                </c:pt>
                <c:pt idx="7">
                  <c:v>170.04999999999998</c:v>
                </c:pt>
                <c:pt idx="8">
                  <c:v>227.51000000000002</c:v>
                </c:pt>
                <c:pt idx="9">
                  <c:v>89.3</c:v>
                </c:pt>
                <c:pt idx="10">
                  <c:v>591.16</c:v>
                </c:pt>
                <c:pt idx="11">
                  <c:v>158.01999999999998</c:v>
                </c:pt>
                <c:pt idx="12">
                  <c:v>226.04999999999998</c:v>
                </c:pt>
                <c:pt idx="13">
                  <c:v>317.58999999999997</c:v>
                </c:pt>
                <c:pt idx="14">
                  <c:v>375.18999999999994</c:v>
                </c:pt>
                <c:pt idx="15">
                  <c:v>466.89000000000004</c:v>
                </c:pt>
                <c:pt idx="16">
                  <c:v>391.31</c:v>
                </c:pt>
                <c:pt idx="17">
                  <c:v>436.87</c:v>
                </c:pt>
                <c:pt idx="18">
                  <c:v>604.07000000000005</c:v>
                </c:pt>
                <c:pt idx="19">
                  <c:v>315.30999999999995</c:v>
                </c:pt>
                <c:pt idx="20">
                  <c:v>103.06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'LIM-EDAD'!$B$4:$W$4</c15:sqref>
                  </c15:fullRef>
                </c:ext>
              </c:extLst>
              <c:f>'LIM-EDAD'!$C$4:$W$4</c:f>
              <c:numCache>
                <c:formatCode>#,##0</c:formatCode>
                <c:ptCount val="21"/>
                <c:pt idx="0">
                  <c:v>241.84999999999997</c:v>
                </c:pt>
                <c:pt idx="1">
                  <c:v>64.150000000000006</c:v>
                </c:pt>
                <c:pt idx="2">
                  <c:v>88.210000000000008</c:v>
                </c:pt>
                <c:pt idx="3">
                  <c:v>47.83</c:v>
                </c:pt>
                <c:pt idx="4">
                  <c:v>50.39</c:v>
                </c:pt>
                <c:pt idx="5">
                  <c:v>30.4</c:v>
                </c:pt>
                <c:pt idx="6">
                  <c:v>7.5</c:v>
                </c:pt>
                <c:pt idx="7">
                  <c:v>2.7300000000000004</c:v>
                </c:pt>
                <c:pt idx="8">
                  <c:v>23.72</c:v>
                </c:pt>
                <c:pt idx="9">
                  <c:v>21.35</c:v>
                </c:pt>
                <c:pt idx="10">
                  <c:v>62.429999999999993</c:v>
                </c:pt>
                <c:pt idx="11">
                  <c:v>14.66</c:v>
                </c:pt>
                <c:pt idx="12">
                  <c:v>60.59</c:v>
                </c:pt>
                <c:pt idx="13">
                  <c:v>62.839999999999989</c:v>
                </c:pt>
                <c:pt idx="14">
                  <c:v>147.6</c:v>
                </c:pt>
                <c:pt idx="15">
                  <c:v>139.89000000000001</c:v>
                </c:pt>
                <c:pt idx="16">
                  <c:v>88.81</c:v>
                </c:pt>
                <c:pt idx="17">
                  <c:v>139.72</c:v>
                </c:pt>
                <c:pt idx="18">
                  <c:v>111.3</c:v>
                </c:pt>
                <c:pt idx="19">
                  <c:v>129.87</c:v>
                </c:pt>
                <c:pt idx="20">
                  <c:v>65.760000000000005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33504"/>
        <c:axId val="-2059336768"/>
      </c:barChart>
      <c:catAx>
        <c:axId val="-2059333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6768"/>
        <c:crosses val="autoZero"/>
        <c:auto val="1"/>
        <c:lblAlgn val="ctr"/>
        <c:lblOffset val="100"/>
        <c:noMultiLvlLbl val="0"/>
      </c:catAx>
      <c:valAx>
        <c:axId val="-2059336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  <a:p>
            <a:pPr>
              <a:defRPr/>
            </a:pPr>
            <a:r>
              <a:rPr lang="en-US"/>
              <a:t>% según año plantación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'LIM-EDAD'!$A$55</c:f>
              <c:strCache>
                <c:ptCount val="1"/>
                <c:pt idx="0">
                  <c:v>MURCIA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'LIM-EDAD'!$B$55:$W$55</c15:sqref>
                  </c15:fullRef>
                </c:ext>
              </c:extLst>
              <c:f>'LIM-EDAD'!$C$55:$W$55</c:f>
              <c:numCache>
                <c:formatCode>0%</c:formatCode>
                <c:ptCount val="21"/>
                <c:pt idx="0">
                  <c:v>9.2197083295362608E-2</c:v>
                </c:pt>
                <c:pt idx="1">
                  <c:v>2.8091439049378528E-2</c:v>
                </c:pt>
                <c:pt idx="2">
                  <c:v>1.5789611759605218E-2</c:v>
                </c:pt>
                <c:pt idx="3">
                  <c:v>1.8905283040751578E-2</c:v>
                </c:pt>
                <c:pt idx="4">
                  <c:v>1.8083734442354907E-2</c:v>
                </c:pt>
                <c:pt idx="5">
                  <c:v>2.6649241551856977E-2</c:v>
                </c:pt>
                <c:pt idx="6">
                  <c:v>8.5827665338381372E-3</c:v>
                </c:pt>
                <c:pt idx="7">
                  <c:v>8.5040635588656838E-3</c:v>
                </c:pt>
                <c:pt idx="8">
                  <c:v>3.9461947801977797E-3</c:v>
                </c:pt>
                <c:pt idx="9">
                  <c:v>1.3106116463833913E-2</c:v>
                </c:pt>
                <c:pt idx="10">
                  <c:v>2.6757630736687466E-2</c:v>
                </c:pt>
                <c:pt idx="11">
                  <c:v>2.529679306088297E-2</c:v>
                </c:pt>
                <c:pt idx="12">
                  <c:v>1.941547162412564E-2</c:v>
                </c:pt>
                <c:pt idx="13">
                  <c:v>3.1839495638198281E-2</c:v>
                </c:pt>
                <c:pt idx="14">
                  <c:v>4.7094065243385511E-2</c:v>
                </c:pt>
                <c:pt idx="15">
                  <c:v>5.988329867640927E-2</c:v>
                </c:pt>
                <c:pt idx="16">
                  <c:v>4.4897285713891219E-2</c:v>
                </c:pt>
                <c:pt idx="17">
                  <c:v>4.6630822294205537E-2</c:v>
                </c:pt>
                <c:pt idx="18">
                  <c:v>4.7009839252625508E-2</c:v>
                </c:pt>
                <c:pt idx="19">
                  <c:v>4.0146111382659402E-2</c:v>
                </c:pt>
                <c:pt idx="20">
                  <c:v>9.7039387387088862E-3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'LIM-EDAD'!$A$47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'LIM-EDAD'!$B$47:$W$47</c15:sqref>
                  </c15:fullRef>
                </c:ext>
              </c:extLst>
              <c:f>'LIM-EDAD'!$C$47:$W$47</c:f>
              <c:numCache>
                <c:formatCode>0%</c:formatCode>
                <c:ptCount val="21"/>
                <c:pt idx="0">
                  <c:v>8.70212979891299E-2</c:v>
                </c:pt>
                <c:pt idx="1">
                  <c:v>8.8829016037010669E-3</c:v>
                </c:pt>
                <c:pt idx="2">
                  <c:v>1.3217316468506027E-2</c:v>
                </c:pt>
                <c:pt idx="3">
                  <c:v>8.0828350035624576E-3</c:v>
                </c:pt>
                <c:pt idx="4">
                  <c:v>1.2033434134517143E-2</c:v>
                </c:pt>
                <c:pt idx="5">
                  <c:v>4.7463410467682175E-2</c:v>
                </c:pt>
                <c:pt idx="6">
                  <c:v>7.2449274155794588E-3</c:v>
                </c:pt>
                <c:pt idx="7">
                  <c:v>1.8385314236968913E-2</c:v>
                </c:pt>
                <c:pt idx="8">
                  <c:v>2.4597723269937068E-2</c:v>
                </c:pt>
                <c:pt idx="9">
                  <c:v>9.6548577557266924E-3</c:v>
                </c:pt>
                <c:pt idx="10">
                  <c:v>6.3914509640261949E-2</c:v>
                </c:pt>
                <c:pt idx="11">
                  <c:v>1.7084665426203044E-2</c:v>
                </c:pt>
                <c:pt idx="12">
                  <c:v>2.4439872292071878E-2</c:v>
                </c:pt>
                <c:pt idx="13">
                  <c:v>3.4336912370002692E-2</c:v>
                </c:pt>
                <c:pt idx="14">
                  <c:v>4.0564457798108598E-2</c:v>
                </c:pt>
                <c:pt idx="15">
                  <c:v>5.0478796613339712E-2</c:v>
                </c:pt>
                <c:pt idx="16">
                  <c:v>4.2307305581113244E-2</c:v>
                </c:pt>
                <c:pt idx="17">
                  <c:v>4.723312102737201E-2</c:v>
                </c:pt>
                <c:pt idx="18">
                  <c:v>6.5310301506179447E-2</c:v>
                </c:pt>
                <c:pt idx="19">
                  <c:v>3.4090405363473499E-2</c:v>
                </c:pt>
                <c:pt idx="20">
                  <c:v>1.1142549163551993E-2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2A-4B3F-B078-22AAE4DB6DC4}"/>
            </c:ext>
          </c:extLst>
        </c:ser>
        <c:ser>
          <c:idx val="0"/>
          <c:order val="2"/>
          <c:tx>
            <c:strRef>
              <c:f>'PC-EDAD'!$A$38</c:f>
              <c:strCache>
                <c:ptCount val="1"/>
                <c:pt idx="0">
                  <c:v>ANDALUCIA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'LIM-EDAD'!$B$44:$W$44</c15:sqref>
                  </c15:fullRef>
                </c:ext>
              </c:extLst>
              <c:f>'LIM-EDAD'!$C$44:$W$44</c:f>
              <c:numCache>
                <c:formatCode>0%</c:formatCode>
                <c:ptCount val="21"/>
                <c:pt idx="0">
                  <c:v>7.3666928620599315E-2</c:v>
                </c:pt>
                <c:pt idx="1">
                  <c:v>1.9539935790826742E-2</c:v>
                </c:pt>
                <c:pt idx="2">
                  <c:v>2.6868553953372204E-2</c:v>
                </c:pt>
                <c:pt idx="3">
                  <c:v>1.4568903022217349E-2</c:v>
                </c:pt>
                <c:pt idx="4">
                  <c:v>1.5348672868273724E-2</c:v>
                </c:pt>
                <c:pt idx="5">
                  <c:v>9.2597669219194514E-3</c:v>
                </c:pt>
                <c:pt idx="6">
                  <c:v>2.284481970868286E-3</c:v>
                </c:pt>
                <c:pt idx="7">
                  <c:v>8.3155143739605626E-4</c:v>
                </c:pt>
                <c:pt idx="8">
                  <c:v>7.2250549798660987E-3</c:v>
                </c:pt>
                <c:pt idx="9">
                  <c:v>6.5031586770717209E-3</c:v>
                </c:pt>
                <c:pt idx="10">
                  <c:v>1.9016027925507609E-2</c:v>
                </c:pt>
                <c:pt idx="11">
                  <c:v>4.4654007590572099E-3</c:v>
                </c:pt>
                <c:pt idx="12">
                  <c:v>1.8455568348654593E-2</c:v>
                </c:pt>
                <c:pt idx="13">
                  <c:v>1.9140912939915076E-2</c:v>
                </c:pt>
                <c:pt idx="14">
                  <c:v>4.4958605186687865E-2</c:v>
                </c:pt>
                <c:pt idx="15">
                  <c:v>4.2610157720635276E-2</c:v>
                </c:pt>
                <c:pt idx="16">
                  <c:v>2.7051312511041665E-2</c:v>
                </c:pt>
                <c:pt idx="17">
                  <c:v>4.255837612929559E-2</c:v>
                </c:pt>
                <c:pt idx="18">
                  <c:v>3.3901712447685362E-2</c:v>
                </c:pt>
                <c:pt idx="19">
                  <c:v>3.9558089807555243E-2</c:v>
                </c:pt>
                <c:pt idx="20">
                  <c:v>2.0030337920573134E-2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B2A-4B3F-B078-22AAE4DB6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59311744"/>
        <c:axId val="-2059323168"/>
      </c:lineChart>
      <c:catAx>
        <c:axId val="-205931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3168"/>
        <c:crosses val="autoZero"/>
        <c:auto val="1"/>
        <c:lblAlgn val="ctr"/>
        <c:lblOffset val="100"/>
        <c:noMultiLvlLbl val="0"/>
      </c:catAx>
      <c:valAx>
        <c:axId val="-2059323168"/>
        <c:scaling>
          <c:orientation val="minMax"/>
          <c:max val="0.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'LIM-EDAD'!$B$37:$W$37</c15:sqref>
                  </c15:fullRef>
                </c:ext>
              </c:extLst>
              <c:f>'LIM-EDAD'!$C$37:$W$37</c:f>
              <c:numCache>
                <c:formatCode>#,##0</c:formatCode>
                <c:ptCount val="21"/>
                <c:pt idx="0">
                  <c:v>1335.46</c:v>
                </c:pt>
                <c:pt idx="1">
                  <c:v>406.90000000000003</c:v>
                </c:pt>
                <c:pt idx="2">
                  <c:v>228.71</c:v>
                </c:pt>
                <c:pt idx="3">
                  <c:v>273.84000000000003</c:v>
                </c:pt>
                <c:pt idx="4">
                  <c:v>261.94</c:v>
                </c:pt>
                <c:pt idx="5">
                  <c:v>386.01</c:v>
                </c:pt>
                <c:pt idx="6">
                  <c:v>124.32</c:v>
                </c:pt>
                <c:pt idx="7">
                  <c:v>123.17999999999999</c:v>
                </c:pt>
                <c:pt idx="8">
                  <c:v>57.16</c:v>
                </c:pt>
                <c:pt idx="9">
                  <c:v>189.84</c:v>
                </c:pt>
                <c:pt idx="10">
                  <c:v>387.58000000000004</c:v>
                </c:pt>
                <c:pt idx="11">
                  <c:v>366.42</c:v>
                </c:pt>
                <c:pt idx="12">
                  <c:v>281.23</c:v>
                </c:pt>
                <c:pt idx="13">
                  <c:v>461.18999999999994</c:v>
                </c:pt>
                <c:pt idx="14">
                  <c:v>682.15000000000009</c:v>
                </c:pt>
                <c:pt idx="15">
                  <c:v>867.4</c:v>
                </c:pt>
                <c:pt idx="16">
                  <c:v>650.33000000000004</c:v>
                </c:pt>
                <c:pt idx="17">
                  <c:v>675.44</c:v>
                </c:pt>
                <c:pt idx="18">
                  <c:v>680.93</c:v>
                </c:pt>
                <c:pt idx="19">
                  <c:v>581.5100000000001</c:v>
                </c:pt>
                <c:pt idx="20">
                  <c:v>140.56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'LIM-EDAD'!$B$16:$W$16</c15:sqref>
                  </c15:fullRef>
                </c:ext>
              </c:extLst>
              <c:f>'LIM-EDAD'!$C$16:$W$16</c:f>
              <c:numCache>
                <c:formatCode>#,##0</c:formatCode>
                <c:ptCount val="21"/>
                <c:pt idx="0">
                  <c:v>804.87999999999988</c:v>
                </c:pt>
                <c:pt idx="1">
                  <c:v>82.160000000000011</c:v>
                </c:pt>
                <c:pt idx="2">
                  <c:v>122.25</c:v>
                </c:pt>
                <c:pt idx="3">
                  <c:v>74.759999999999991</c:v>
                </c:pt>
                <c:pt idx="4">
                  <c:v>111.29999999999998</c:v>
                </c:pt>
                <c:pt idx="5">
                  <c:v>439</c:v>
                </c:pt>
                <c:pt idx="6">
                  <c:v>67.009999999999991</c:v>
                </c:pt>
                <c:pt idx="7">
                  <c:v>170.04999999999998</c:v>
                </c:pt>
                <c:pt idx="8">
                  <c:v>227.51000000000002</c:v>
                </c:pt>
                <c:pt idx="9">
                  <c:v>89.3</c:v>
                </c:pt>
                <c:pt idx="10">
                  <c:v>591.16</c:v>
                </c:pt>
                <c:pt idx="11">
                  <c:v>158.01999999999998</c:v>
                </c:pt>
                <c:pt idx="12">
                  <c:v>226.04999999999998</c:v>
                </c:pt>
                <c:pt idx="13">
                  <c:v>317.58999999999997</c:v>
                </c:pt>
                <c:pt idx="14">
                  <c:v>375.18999999999994</c:v>
                </c:pt>
                <c:pt idx="15">
                  <c:v>466.89000000000004</c:v>
                </c:pt>
                <c:pt idx="16">
                  <c:v>391.31</c:v>
                </c:pt>
                <c:pt idx="17">
                  <c:v>436.87</c:v>
                </c:pt>
                <c:pt idx="18">
                  <c:v>604.07000000000005</c:v>
                </c:pt>
                <c:pt idx="19">
                  <c:v>315.30999999999995</c:v>
                </c:pt>
                <c:pt idx="20">
                  <c:v>103.06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'LIM-EDAD'!$B$4:$W$4</c15:sqref>
                  </c15:fullRef>
                </c:ext>
              </c:extLst>
              <c:f>'LIM-EDAD'!$C$4:$W$4</c:f>
              <c:numCache>
                <c:formatCode>#,##0</c:formatCode>
                <c:ptCount val="21"/>
                <c:pt idx="0">
                  <c:v>241.84999999999997</c:v>
                </c:pt>
                <c:pt idx="1">
                  <c:v>64.150000000000006</c:v>
                </c:pt>
                <c:pt idx="2">
                  <c:v>88.210000000000008</c:v>
                </c:pt>
                <c:pt idx="3">
                  <c:v>47.83</c:v>
                </c:pt>
                <c:pt idx="4">
                  <c:v>50.39</c:v>
                </c:pt>
                <c:pt idx="5">
                  <c:v>30.4</c:v>
                </c:pt>
                <c:pt idx="6">
                  <c:v>7.5</c:v>
                </c:pt>
                <c:pt idx="7">
                  <c:v>2.7300000000000004</c:v>
                </c:pt>
                <c:pt idx="8">
                  <c:v>23.72</c:v>
                </c:pt>
                <c:pt idx="9">
                  <c:v>21.35</c:v>
                </c:pt>
                <c:pt idx="10">
                  <c:v>62.429999999999993</c:v>
                </c:pt>
                <c:pt idx="11">
                  <c:v>14.66</c:v>
                </c:pt>
                <c:pt idx="12">
                  <c:v>60.59</c:v>
                </c:pt>
                <c:pt idx="13">
                  <c:v>62.839999999999989</c:v>
                </c:pt>
                <c:pt idx="14">
                  <c:v>147.6</c:v>
                </c:pt>
                <c:pt idx="15">
                  <c:v>139.89000000000001</c:v>
                </c:pt>
                <c:pt idx="16">
                  <c:v>88.81</c:v>
                </c:pt>
                <c:pt idx="17">
                  <c:v>139.72</c:v>
                </c:pt>
                <c:pt idx="18">
                  <c:v>111.3</c:v>
                </c:pt>
                <c:pt idx="19">
                  <c:v>129.87</c:v>
                </c:pt>
                <c:pt idx="20">
                  <c:v>65.760000000000005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12832"/>
        <c:axId val="-2059310656"/>
      </c:barChart>
      <c:lineChart>
        <c:grouping val="standard"/>
        <c:varyColors val="0"/>
        <c:ser>
          <c:idx val="3"/>
          <c:order val="3"/>
          <c:tx>
            <c:v>% MURCIA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'LIM-EDAD'!$B$55:$W$55</c15:sqref>
                  </c15:fullRef>
                </c:ext>
              </c:extLst>
              <c:f>'LIM-EDAD'!$C$55:$W$55</c:f>
              <c:numCache>
                <c:formatCode>0%</c:formatCode>
                <c:ptCount val="21"/>
                <c:pt idx="0">
                  <c:v>9.2197083295362608E-2</c:v>
                </c:pt>
                <c:pt idx="1">
                  <c:v>2.8091439049378528E-2</c:v>
                </c:pt>
                <c:pt idx="2">
                  <c:v>1.5789611759605218E-2</c:v>
                </c:pt>
                <c:pt idx="3">
                  <c:v>1.8905283040751578E-2</c:v>
                </c:pt>
                <c:pt idx="4">
                  <c:v>1.8083734442354907E-2</c:v>
                </c:pt>
                <c:pt idx="5">
                  <c:v>2.6649241551856977E-2</c:v>
                </c:pt>
                <c:pt idx="6">
                  <c:v>8.5827665338381372E-3</c:v>
                </c:pt>
                <c:pt idx="7">
                  <c:v>8.5040635588656838E-3</c:v>
                </c:pt>
                <c:pt idx="8">
                  <c:v>3.9461947801977797E-3</c:v>
                </c:pt>
                <c:pt idx="9">
                  <c:v>1.3106116463833913E-2</c:v>
                </c:pt>
                <c:pt idx="10">
                  <c:v>2.6757630736687466E-2</c:v>
                </c:pt>
                <c:pt idx="11">
                  <c:v>2.529679306088297E-2</c:v>
                </c:pt>
                <c:pt idx="12">
                  <c:v>1.941547162412564E-2</c:v>
                </c:pt>
                <c:pt idx="13">
                  <c:v>3.1839495638198281E-2</c:v>
                </c:pt>
                <c:pt idx="14">
                  <c:v>4.7094065243385511E-2</c:v>
                </c:pt>
                <c:pt idx="15">
                  <c:v>5.988329867640927E-2</c:v>
                </c:pt>
                <c:pt idx="16">
                  <c:v>4.4897285713891219E-2</c:v>
                </c:pt>
                <c:pt idx="17">
                  <c:v>4.6630822294205537E-2</c:v>
                </c:pt>
                <c:pt idx="18">
                  <c:v>4.7009839252625508E-2</c:v>
                </c:pt>
                <c:pt idx="19">
                  <c:v>4.0146111382659402E-2</c:v>
                </c:pt>
                <c:pt idx="20">
                  <c:v>9.7039387387088862E-3</c:v>
                </c:pt>
              </c:numCache>
            </c:numRef>
          </c:val>
          <c:smooth val="0"/>
        </c:ser>
        <c:ser>
          <c:idx val="4"/>
          <c:order val="4"/>
          <c:tx>
            <c:v>% C. VALENCIANA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'LIM-EDAD'!$B$47:$W$47</c15:sqref>
                  </c15:fullRef>
                </c:ext>
              </c:extLst>
              <c:f>'LIM-EDAD'!$C$47:$W$47</c:f>
              <c:numCache>
                <c:formatCode>0%</c:formatCode>
                <c:ptCount val="21"/>
                <c:pt idx="0">
                  <c:v>8.70212979891299E-2</c:v>
                </c:pt>
                <c:pt idx="1">
                  <c:v>8.8829016037010669E-3</c:v>
                </c:pt>
                <c:pt idx="2">
                  <c:v>1.3217316468506027E-2</c:v>
                </c:pt>
                <c:pt idx="3">
                  <c:v>8.0828350035624576E-3</c:v>
                </c:pt>
                <c:pt idx="4">
                  <c:v>1.2033434134517143E-2</c:v>
                </c:pt>
                <c:pt idx="5">
                  <c:v>4.7463410467682175E-2</c:v>
                </c:pt>
                <c:pt idx="6">
                  <c:v>7.2449274155794588E-3</c:v>
                </c:pt>
                <c:pt idx="7">
                  <c:v>1.8385314236968913E-2</c:v>
                </c:pt>
                <c:pt idx="8">
                  <c:v>2.4597723269937068E-2</c:v>
                </c:pt>
                <c:pt idx="9">
                  <c:v>9.6548577557266924E-3</c:v>
                </c:pt>
                <c:pt idx="10">
                  <c:v>6.3914509640261949E-2</c:v>
                </c:pt>
                <c:pt idx="11">
                  <c:v>1.7084665426203044E-2</c:v>
                </c:pt>
                <c:pt idx="12">
                  <c:v>2.4439872292071878E-2</c:v>
                </c:pt>
                <c:pt idx="13">
                  <c:v>3.4336912370002692E-2</c:v>
                </c:pt>
                <c:pt idx="14">
                  <c:v>4.0564457798108598E-2</c:v>
                </c:pt>
                <c:pt idx="15">
                  <c:v>5.0478796613339712E-2</c:v>
                </c:pt>
                <c:pt idx="16">
                  <c:v>4.2307305581113244E-2</c:v>
                </c:pt>
                <c:pt idx="17">
                  <c:v>4.723312102737201E-2</c:v>
                </c:pt>
                <c:pt idx="18">
                  <c:v>6.5310301506179447E-2</c:v>
                </c:pt>
                <c:pt idx="19">
                  <c:v>3.4090405363473499E-2</c:v>
                </c:pt>
                <c:pt idx="20">
                  <c:v>1.1142549163551993E-2</c:v>
                </c:pt>
              </c:numCache>
            </c:numRef>
          </c:val>
          <c:smooth val="0"/>
        </c:ser>
        <c:ser>
          <c:idx val="5"/>
          <c:order val="5"/>
          <c:tx>
            <c:v>% ANDALUCÍA</c:v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'LIM-EDAD'!$B$43:$W$43</c15:sqref>
                  </c15:fullRef>
                </c:ext>
              </c:extLst>
              <c:f>'LIM-EDAD'!$C$43:$W$43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'LIM-EDAD'!$B$44:$W$44</c15:sqref>
                  </c15:fullRef>
                </c:ext>
              </c:extLst>
              <c:f>'LIM-EDAD'!$C$44:$W$44</c:f>
              <c:numCache>
                <c:formatCode>0%</c:formatCode>
                <c:ptCount val="21"/>
                <c:pt idx="0">
                  <c:v>7.3666928620599315E-2</c:v>
                </c:pt>
                <c:pt idx="1">
                  <c:v>1.9539935790826742E-2</c:v>
                </c:pt>
                <c:pt idx="2">
                  <c:v>2.6868553953372204E-2</c:v>
                </c:pt>
                <c:pt idx="3">
                  <c:v>1.4568903022217349E-2</c:v>
                </c:pt>
                <c:pt idx="4">
                  <c:v>1.5348672868273724E-2</c:v>
                </c:pt>
                <c:pt idx="5">
                  <c:v>9.2597669219194514E-3</c:v>
                </c:pt>
                <c:pt idx="6">
                  <c:v>2.284481970868286E-3</c:v>
                </c:pt>
                <c:pt idx="7">
                  <c:v>8.3155143739605626E-4</c:v>
                </c:pt>
                <c:pt idx="8">
                  <c:v>7.2250549798660987E-3</c:v>
                </c:pt>
                <c:pt idx="9">
                  <c:v>6.5031586770717209E-3</c:v>
                </c:pt>
                <c:pt idx="10">
                  <c:v>1.9016027925507609E-2</c:v>
                </c:pt>
                <c:pt idx="11">
                  <c:v>4.4654007590572099E-3</c:v>
                </c:pt>
                <c:pt idx="12">
                  <c:v>1.8455568348654593E-2</c:v>
                </c:pt>
                <c:pt idx="13">
                  <c:v>1.9140912939915076E-2</c:v>
                </c:pt>
                <c:pt idx="14">
                  <c:v>4.4958605186687865E-2</c:v>
                </c:pt>
                <c:pt idx="15">
                  <c:v>4.2610157720635276E-2</c:v>
                </c:pt>
                <c:pt idx="16">
                  <c:v>2.7051312511041665E-2</c:v>
                </c:pt>
                <c:pt idx="17">
                  <c:v>4.255837612929559E-2</c:v>
                </c:pt>
                <c:pt idx="18">
                  <c:v>3.3901712447685362E-2</c:v>
                </c:pt>
                <c:pt idx="19">
                  <c:v>3.9558089807555243E-2</c:v>
                </c:pt>
                <c:pt idx="20">
                  <c:v>2.0030337920573134E-2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9332416"/>
        <c:axId val="-2059317184"/>
      </c:lineChart>
      <c:catAx>
        <c:axId val="-2059312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0656"/>
        <c:crosses val="autoZero"/>
        <c:auto val="1"/>
        <c:lblAlgn val="ctr"/>
        <c:lblOffset val="100"/>
        <c:noMultiLvlLbl val="0"/>
      </c:catAx>
      <c:valAx>
        <c:axId val="-205931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2832"/>
        <c:crosses val="autoZero"/>
        <c:crossBetween val="between"/>
      </c:valAx>
      <c:valAx>
        <c:axId val="-2059317184"/>
        <c:scaling>
          <c:orientation val="minMax"/>
          <c:max val="7.0000000000000007E-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2416"/>
        <c:crosses val="max"/>
        <c:crossBetween val="between"/>
      </c:valAx>
      <c:catAx>
        <c:axId val="-2059332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2059317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Limonero: Murcia, C. Valenciana y Andalucía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'LIM-EDAD'!$A$37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'LIM-EDAD'!$P$3:$W$3</c:f>
              <c:strCache>
                <c:ptCount val="8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'LIM-EDAD'!$B$37:$W$37</c15:sqref>
                  </c15:fullRef>
                </c:ext>
              </c:extLst>
              <c:f>'LIM-EDAD'!$P$37:$W$37</c:f>
              <c:numCache>
                <c:formatCode>#,##0</c:formatCode>
                <c:ptCount val="8"/>
                <c:pt idx="0">
                  <c:v>461.18999999999994</c:v>
                </c:pt>
                <c:pt idx="1">
                  <c:v>682.15000000000009</c:v>
                </c:pt>
                <c:pt idx="2">
                  <c:v>867.4</c:v>
                </c:pt>
                <c:pt idx="3">
                  <c:v>650.33000000000004</c:v>
                </c:pt>
                <c:pt idx="4">
                  <c:v>675.44</c:v>
                </c:pt>
                <c:pt idx="5">
                  <c:v>680.93</c:v>
                </c:pt>
                <c:pt idx="6">
                  <c:v>581.5100000000001</c:v>
                </c:pt>
                <c:pt idx="7">
                  <c:v>140.56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7-42B1-9F9C-D05D2D4EF0D5}"/>
            </c:ext>
          </c:extLst>
        </c:ser>
        <c:ser>
          <c:idx val="1"/>
          <c:order val="1"/>
          <c:tx>
            <c:strRef>
              <c:f>'LIM-EDAD'!$A$16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'LIM-EDAD'!$P$3:$W$3</c:f>
              <c:strCache>
                <c:ptCount val="8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'LIM-EDAD'!$B$16:$W$16</c15:sqref>
                  </c15:fullRef>
                </c:ext>
              </c:extLst>
              <c:f>'LIM-EDAD'!$P$16:$W$16</c:f>
              <c:numCache>
                <c:formatCode>#,##0</c:formatCode>
                <c:ptCount val="8"/>
                <c:pt idx="0">
                  <c:v>317.58999999999997</c:v>
                </c:pt>
                <c:pt idx="1">
                  <c:v>375.18999999999994</c:v>
                </c:pt>
                <c:pt idx="2">
                  <c:v>466.89000000000004</c:v>
                </c:pt>
                <c:pt idx="3">
                  <c:v>391.31</c:v>
                </c:pt>
                <c:pt idx="4">
                  <c:v>436.87</c:v>
                </c:pt>
                <c:pt idx="5">
                  <c:v>604.07000000000005</c:v>
                </c:pt>
                <c:pt idx="6">
                  <c:v>315.30999999999995</c:v>
                </c:pt>
                <c:pt idx="7">
                  <c:v>103.06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7-42B1-9F9C-D05D2D4EF0D5}"/>
            </c:ext>
          </c:extLst>
        </c:ser>
        <c:ser>
          <c:idx val="0"/>
          <c:order val="2"/>
          <c:tx>
            <c:strRef>
              <c:f>'LIM-EDAD'!$A$4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'LIM-EDAD'!$B$3:$W$3</c15:sqref>
                  </c15:fullRef>
                </c:ext>
              </c:extLst>
              <c:f>'LIM-EDAD'!$P$3:$W$3</c:f>
              <c:strCache>
                <c:ptCount val="8"/>
                <c:pt idx="0">
                  <c:v>2.013</c:v>
                </c:pt>
                <c:pt idx="1">
                  <c:v>2.014</c:v>
                </c:pt>
                <c:pt idx="2">
                  <c:v>2.015</c:v>
                </c:pt>
                <c:pt idx="3">
                  <c:v>2.016</c:v>
                </c:pt>
                <c:pt idx="4">
                  <c:v>2.017</c:v>
                </c:pt>
                <c:pt idx="5">
                  <c:v>2.018</c:v>
                </c:pt>
                <c:pt idx="6">
                  <c:v>2.019</c:v>
                </c:pt>
                <c:pt idx="7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'LIM-EDAD'!$B$4:$W$4</c15:sqref>
                  </c15:fullRef>
                </c:ext>
              </c:extLst>
              <c:f>'LIM-EDAD'!$P$4:$W$4</c:f>
              <c:numCache>
                <c:formatCode>#,##0</c:formatCode>
                <c:ptCount val="8"/>
                <c:pt idx="0">
                  <c:v>62.839999999999989</c:v>
                </c:pt>
                <c:pt idx="1">
                  <c:v>147.6</c:v>
                </c:pt>
                <c:pt idx="2">
                  <c:v>139.89000000000001</c:v>
                </c:pt>
                <c:pt idx="3">
                  <c:v>88.81</c:v>
                </c:pt>
                <c:pt idx="4">
                  <c:v>139.72</c:v>
                </c:pt>
                <c:pt idx="5">
                  <c:v>111.3</c:v>
                </c:pt>
                <c:pt idx="6">
                  <c:v>129.87</c:v>
                </c:pt>
                <c:pt idx="7">
                  <c:v>65.760000000000005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7-42B1-9F9C-D05D2D4EF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16640"/>
        <c:axId val="-2059334048"/>
      </c:barChart>
      <c:catAx>
        <c:axId val="-205931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4048"/>
        <c:crosses val="autoZero"/>
        <c:auto val="1"/>
        <c:lblAlgn val="ctr"/>
        <c:lblOffset val="100"/>
        <c:noMultiLvlLbl val="0"/>
      </c:catAx>
      <c:valAx>
        <c:axId val="-205933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Pomelo: Sin info de edad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37E-441D-A78B-4A5E7FFC4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'POM-EDAD'!$A$31:$A$38</c15:sqref>
                  </c15:fullRef>
                </c:ext>
              </c:extLst>
              <c:f>('POM-EDAD'!$A$31:$A$32,'POM-EDAD'!$A$37:$A$38)</c:f>
              <c:strCache>
                <c:ptCount val="4"/>
                <c:pt idx="0">
                  <c:v>ANDALUCÍA</c:v>
                </c:pt>
                <c:pt idx="1">
                  <c:v>C. VALENCIANA</c:v>
                </c:pt>
                <c:pt idx="2">
                  <c:v>MURCIA</c:v>
                </c:pt>
                <c:pt idx="3">
                  <c:v>ESPAÑA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'POM-EDAD'!$X$31:$X$38</c15:sqref>
                  </c15:fullRef>
                </c:ext>
              </c:extLst>
              <c:f>('POM-EDAD'!$X$31:$X$32,'POM-EDAD'!$X$37:$X$38)</c:f>
              <c:numCache>
                <c:formatCode>0.0%</c:formatCode>
                <c:ptCount val="4"/>
                <c:pt idx="0">
                  <c:v>3.0537999893780871E-4</c:v>
                </c:pt>
                <c:pt idx="1">
                  <c:v>9.8854679266646359E-3</c:v>
                </c:pt>
                <c:pt idx="2">
                  <c:v>9.9724736400111959E-3</c:v>
                </c:pt>
                <c:pt idx="3">
                  <c:v>7.0656210512100789E-3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1F-48A8-A5E8-DEF1DC86F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-2059320992"/>
        <c:axId val="-2059311200"/>
      </c:barChart>
      <c:catAx>
        <c:axId val="-2059320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1200"/>
        <c:crosses val="autoZero"/>
        <c:auto val="1"/>
        <c:lblAlgn val="ctr"/>
        <c:lblOffset val="100"/>
        <c:noMultiLvlLbl val="0"/>
      </c:catAx>
      <c:valAx>
        <c:axId val="-20593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0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Pomelo: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'POM-EDAD'!$A$26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'POM-EDAD'!$B$3:$W$3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'POM-EDAD'!$B$26:$W$26</c:f>
              <c:numCache>
                <c:formatCode>#,##0</c:formatCode>
                <c:ptCount val="22"/>
                <c:pt idx="0">
                  <c:v>297.75000000000011</c:v>
                </c:pt>
                <c:pt idx="1">
                  <c:v>172.66</c:v>
                </c:pt>
                <c:pt idx="2">
                  <c:v>44.96</c:v>
                </c:pt>
                <c:pt idx="3">
                  <c:v>27.939999999999998</c:v>
                </c:pt>
                <c:pt idx="4">
                  <c:v>92.740000000000009</c:v>
                </c:pt>
                <c:pt idx="5">
                  <c:v>45.76</c:v>
                </c:pt>
                <c:pt idx="6">
                  <c:v>87.97999999999999</c:v>
                </c:pt>
                <c:pt idx="7">
                  <c:v>70.53</c:v>
                </c:pt>
                <c:pt idx="8">
                  <c:v>88.70999999999998</c:v>
                </c:pt>
                <c:pt idx="9">
                  <c:v>50.449999999999996</c:v>
                </c:pt>
                <c:pt idx="10">
                  <c:v>32.22</c:v>
                </c:pt>
                <c:pt idx="11">
                  <c:v>111.01</c:v>
                </c:pt>
                <c:pt idx="12">
                  <c:v>61.05</c:v>
                </c:pt>
                <c:pt idx="13">
                  <c:v>41.160000000000004</c:v>
                </c:pt>
                <c:pt idx="14">
                  <c:v>36.94</c:v>
                </c:pt>
                <c:pt idx="15">
                  <c:v>99.710000000000008</c:v>
                </c:pt>
                <c:pt idx="16">
                  <c:v>37.85</c:v>
                </c:pt>
                <c:pt idx="17">
                  <c:v>105.73</c:v>
                </c:pt>
                <c:pt idx="18">
                  <c:v>118.96</c:v>
                </c:pt>
                <c:pt idx="19">
                  <c:v>117.15</c:v>
                </c:pt>
                <c:pt idx="20">
                  <c:v>186.26000000000002</c:v>
                </c:pt>
                <c:pt idx="21">
                  <c:v>131.25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87-410B-B962-E71832C13A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14464"/>
        <c:axId val="-2059331872"/>
      </c:barChart>
      <c:lineChart>
        <c:grouping val="standard"/>
        <c:varyColors val="0"/>
        <c:ser>
          <c:idx val="1"/>
          <c:order val="1"/>
          <c:tx>
            <c:v>% ESPAÑA</c:v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'POM-EDAD'!$B$38:$W$38</c:f>
              <c:numCache>
                <c:formatCode>0%</c:formatCode>
                <c:ptCount val="22"/>
                <c:pt idx="0">
                  <c:v>0.14360332204763149</c:v>
                </c:pt>
                <c:pt idx="1">
                  <c:v>8.3273046464295702E-2</c:v>
                </c:pt>
                <c:pt idx="2">
                  <c:v>2.1683981055454275E-2</c:v>
                </c:pt>
                <c:pt idx="3">
                  <c:v>1.3475320967290755E-2</c:v>
                </c:pt>
                <c:pt idx="4">
                  <c:v>4.4728033876397455E-2</c:v>
                </c:pt>
                <c:pt idx="5">
                  <c:v>2.2069817017295094E-2</c:v>
                </c:pt>
                <c:pt idx="6">
                  <c:v>4.2432309903444543E-2</c:v>
                </c:pt>
                <c:pt idx="7">
                  <c:v>3.4016262985791593E-2</c:v>
                </c:pt>
                <c:pt idx="8">
                  <c:v>4.2784385218624293E-2</c:v>
                </c:pt>
                <c:pt idx="9">
                  <c:v>2.433178034358692E-2</c:v>
                </c:pt>
                <c:pt idx="10">
                  <c:v>1.5539543363139161E-2</c:v>
                </c:pt>
                <c:pt idx="11">
                  <c:v>5.3539562654937256E-2</c:v>
                </c:pt>
                <c:pt idx="12">
                  <c:v>2.9444106837977831E-2</c:v>
                </c:pt>
                <c:pt idx="13">
                  <c:v>1.9851260236710362E-2</c:v>
                </c:pt>
                <c:pt idx="14">
                  <c:v>1.7815975538000017E-2</c:v>
                </c:pt>
                <c:pt idx="15">
                  <c:v>4.8089629693935626E-2</c:v>
                </c:pt>
                <c:pt idx="16">
                  <c:v>1.8254863944593955E-2</c:v>
                </c:pt>
                <c:pt idx="17">
                  <c:v>5.0993045306787818E-2</c:v>
                </c:pt>
                <c:pt idx="18">
                  <c:v>5.737380752573043E-2</c:v>
                </c:pt>
                <c:pt idx="19">
                  <c:v>5.6500853662065573E-2</c:v>
                </c:pt>
                <c:pt idx="20">
                  <c:v>8.9832257815589706E-2</c:v>
                </c:pt>
                <c:pt idx="21">
                  <c:v>6.3301212489510081E-2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59325888"/>
        <c:axId val="-2059337312"/>
      </c:lineChart>
      <c:catAx>
        <c:axId val="-205931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1872"/>
        <c:crosses val="autoZero"/>
        <c:auto val="1"/>
        <c:lblAlgn val="ctr"/>
        <c:lblOffset val="100"/>
        <c:noMultiLvlLbl val="0"/>
      </c:catAx>
      <c:valAx>
        <c:axId val="-205933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4464"/>
        <c:crosses val="autoZero"/>
        <c:crossBetween val="between"/>
      </c:valAx>
      <c:valAx>
        <c:axId val="-2059337312"/>
        <c:scaling>
          <c:orientation val="minMax"/>
          <c:max val="0.15000000000000002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5888"/>
        <c:crosses val="max"/>
        <c:crossBetween val="between"/>
      </c:valAx>
      <c:catAx>
        <c:axId val="-205932588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59337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Distribución autonómica de la superficie plantada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3B-4FF3-B6D7-E86F78BD56DE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8.2715004374453213E-2"/>
                  <c:y val="0.107773767862350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952-4C82-8B80-4230306BD2C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538385826771653E-2"/>
                  <c:y val="3.23268445610965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FBA-4316-8FA9-9E34AFD12EF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908442694663156"/>
                  <c:y val="1.48428842228054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03B-4FF3-B6D7-E86F78BD56D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('NAR-EDAD'!$A$4,'NAR-EDAD'!$A$13,'NAR-EDAD'!$A$15,'NAR-EDAD'!$A$19,'NAR-EDAD'!$A$21,'NAR-EDAD'!$A$25,'NAR-EDAD'!$A$28,'NAR-EDAD'!$A$30,'NAR-EDAD'!$A$32,'NAR-EDAD'!$A$35)</c15:sqref>
                  </c15:fullRef>
                </c:ext>
              </c:extLst>
              <c:f>('NAR-EDAD'!$A$4,'NAR-EDAD'!$A$15,'NAR-EDAD'!$A$21,'NAR-EDAD'!$A$30,'NAR-EDAD'!$A$35)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('NAR-EDAD'!$Z$4,'NAR-EDAD'!$Z$13,'NAR-EDAD'!$Z$15,'NAR-EDAD'!$Z$19,'NAR-EDAD'!$Z$21,'NAR-EDAD'!$Z$25,'NAR-EDAD'!$Z$28,'NAR-EDAD'!$Z$30,'NAR-EDAD'!$Z$32,'NAR-EDAD'!$Z$35)</c15:sqref>
                  </c15:fullRef>
                </c:ext>
              </c:extLst>
              <c:f>('NAR-EDAD'!$Z$4,'NAR-EDAD'!$Z$15,'NAR-EDAD'!$Z$21,'NAR-EDAD'!$Z$30,'NAR-EDAD'!$Z$35)</c:f>
              <c:numCache>
                <c:formatCode>0.0%</c:formatCode>
                <c:ptCount val="5"/>
                <c:pt idx="0">
                  <c:v>0.46979804095047756</c:v>
                </c:pt>
                <c:pt idx="1">
                  <c:v>0.45320548542822936</c:v>
                </c:pt>
                <c:pt idx="2">
                  <c:v>1.7900404735388186E-2</c:v>
                </c:pt>
                <c:pt idx="3">
                  <c:v>6.5747925452408276E-3</c:v>
                </c:pt>
                <c:pt idx="4">
                  <c:v>5.0390446822979773E-2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03B-4FF3-B6D7-E86F78BD56DE}"/>
            </c:ext>
            <c:ext xmlns:c15="http://schemas.microsoft.com/office/drawing/2012/chart" uri="{02D57815-91ED-43cb-92C2-25804820EDAC}">
              <c15:categoryFilterExceptions>
                <c15:categoryFilterException>
                  <c15:sqref>'NAR-EDAD'!$Z$13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0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B-5A28-4673-9D27-865A20E703D5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'NAR-EDAD'!$Z$19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D-5A28-4673-9D27-865A20E703D5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'NAR-EDAD'!$Z$25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5A28-4673-9D27-865A20E703D5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'NAR-EDAD'!$Z$28</c15:sqref>
                  <c15:spPr xmlns:c15="http://schemas.microsoft.com/office/drawing/2012/chart"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1-5A28-4673-9D27-865A20E703D5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'NAR-EDAD'!$Z$32</c15:sqref>
                  <c15:spPr xmlns:c15="http://schemas.microsoft.com/office/drawing/2012/chart"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3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3-5A28-4673-9D27-865A20E703D5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'POM-EDAD'!$B$4:$W$4</c:f>
              <c:numCache>
                <c:formatCode>#,##0</c:formatCode>
                <c:ptCount val="22"/>
                <c:pt idx="0">
                  <c:v>138.45999999999998</c:v>
                </c:pt>
                <c:pt idx="1">
                  <c:v>24.99</c:v>
                </c:pt>
                <c:pt idx="2">
                  <c:v>19.529999999999998</c:v>
                </c:pt>
                <c:pt idx="3">
                  <c:v>24.71</c:v>
                </c:pt>
                <c:pt idx="4">
                  <c:v>11.440000000000001</c:v>
                </c:pt>
                <c:pt idx="5">
                  <c:v>20.059999999999999</c:v>
                </c:pt>
                <c:pt idx="6">
                  <c:v>41.45</c:v>
                </c:pt>
                <c:pt idx="7">
                  <c:v>49.589999999999996</c:v>
                </c:pt>
                <c:pt idx="8">
                  <c:v>25.59</c:v>
                </c:pt>
                <c:pt idx="9">
                  <c:v>12.309999999999999</c:v>
                </c:pt>
                <c:pt idx="10">
                  <c:v>15.53</c:v>
                </c:pt>
                <c:pt idx="11">
                  <c:v>20.419999999999998</c:v>
                </c:pt>
                <c:pt idx="12">
                  <c:v>4.3599999999999994</c:v>
                </c:pt>
                <c:pt idx="13">
                  <c:v>1.8</c:v>
                </c:pt>
                <c:pt idx="14">
                  <c:v>5.89</c:v>
                </c:pt>
                <c:pt idx="15">
                  <c:v>8.65</c:v>
                </c:pt>
                <c:pt idx="16">
                  <c:v>7.02</c:v>
                </c:pt>
                <c:pt idx="17">
                  <c:v>41.38</c:v>
                </c:pt>
                <c:pt idx="18">
                  <c:v>52.2</c:v>
                </c:pt>
                <c:pt idx="19">
                  <c:v>58.64</c:v>
                </c:pt>
                <c:pt idx="20">
                  <c:v>84.31</c:v>
                </c:pt>
                <c:pt idx="21">
                  <c:v>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'POM-EDAD'!$B$11:$W$11</c:f>
              <c:numCache>
                <c:formatCode>#,##0</c:formatCode>
                <c:ptCount val="22"/>
                <c:pt idx="0">
                  <c:v>70.359999999999985</c:v>
                </c:pt>
                <c:pt idx="1">
                  <c:v>8.2200000000000006</c:v>
                </c:pt>
                <c:pt idx="2">
                  <c:v>15.690000000000001</c:v>
                </c:pt>
                <c:pt idx="3">
                  <c:v>2.56</c:v>
                </c:pt>
                <c:pt idx="4">
                  <c:v>13.99</c:v>
                </c:pt>
                <c:pt idx="5">
                  <c:v>10.96</c:v>
                </c:pt>
                <c:pt idx="6">
                  <c:v>27.28</c:v>
                </c:pt>
                <c:pt idx="7">
                  <c:v>8.89</c:v>
                </c:pt>
                <c:pt idx="8">
                  <c:v>23.439999999999998</c:v>
                </c:pt>
                <c:pt idx="9">
                  <c:v>6.02</c:v>
                </c:pt>
                <c:pt idx="10">
                  <c:v>10.71</c:v>
                </c:pt>
                <c:pt idx="11">
                  <c:v>70.53</c:v>
                </c:pt>
                <c:pt idx="12">
                  <c:v>6.9999999999999991</c:v>
                </c:pt>
                <c:pt idx="13">
                  <c:v>7.43</c:v>
                </c:pt>
                <c:pt idx="14">
                  <c:v>10.43</c:v>
                </c:pt>
                <c:pt idx="15">
                  <c:v>15.170000000000002</c:v>
                </c:pt>
                <c:pt idx="16">
                  <c:v>21.299999999999997</c:v>
                </c:pt>
                <c:pt idx="17">
                  <c:v>23.32</c:v>
                </c:pt>
                <c:pt idx="18">
                  <c:v>15.17</c:v>
                </c:pt>
                <c:pt idx="19">
                  <c:v>26.939999999999998</c:v>
                </c:pt>
                <c:pt idx="20">
                  <c:v>32.870000000000005</c:v>
                </c:pt>
                <c:pt idx="21">
                  <c:v>26.44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'POM-EDAD'!$B$3:$W$3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'POM-EDAD'!$B$24:$W$24</c:f>
              <c:numCache>
                <c:formatCode>#,##0</c:formatCode>
                <c:ptCount val="22"/>
                <c:pt idx="0">
                  <c:v>88.47</c:v>
                </c:pt>
                <c:pt idx="1">
                  <c:v>139.44999999999999</c:v>
                </c:pt>
                <c:pt idx="2">
                  <c:v>9.74</c:v>
                </c:pt>
                <c:pt idx="3">
                  <c:v>0.67</c:v>
                </c:pt>
                <c:pt idx="4">
                  <c:v>67.31</c:v>
                </c:pt>
                <c:pt idx="5">
                  <c:v>14.739999999999998</c:v>
                </c:pt>
                <c:pt idx="6">
                  <c:v>19.25</c:v>
                </c:pt>
                <c:pt idx="7">
                  <c:v>12.05</c:v>
                </c:pt>
                <c:pt idx="8">
                  <c:v>39.68</c:v>
                </c:pt>
                <c:pt idx="9">
                  <c:v>32.119999999999997</c:v>
                </c:pt>
                <c:pt idx="10">
                  <c:v>5.9799999999999995</c:v>
                </c:pt>
                <c:pt idx="11">
                  <c:v>19.97</c:v>
                </c:pt>
                <c:pt idx="12">
                  <c:v>49.690000000000005</c:v>
                </c:pt>
                <c:pt idx="13">
                  <c:v>31.8</c:v>
                </c:pt>
                <c:pt idx="14">
                  <c:v>20.62</c:v>
                </c:pt>
                <c:pt idx="15">
                  <c:v>75.89</c:v>
                </c:pt>
                <c:pt idx="16">
                  <c:v>9.5299999999999994</c:v>
                </c:pt>
                <c:pt idx="17">
                  <c:v>41</c:v>
                </c:pt>
                <c:pt idx="18">
                  <c:v>51.489999999999995</c:v>
                </c:pt>
                <c:pt idx="19">
                  <c:v>31.499999999999996</c:v>
                </c:pt>
                <c:pt idx="20">
                  <c:v>69.08</c:v>
                </c:pt>
                <c:pt idx="21">
                  <c:v>18.78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28608"/>
        <c:axId val="-2059329152"/>
      </c:barChart>
      <c:catAx>
        <c:axId val="-2059328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9152"/>
        <c:crosses val="autoZero"/>
        <c:auto val="1"/>
        <c:lblAlgn val="ctr"/>
        <c:lblOffset val="100"/>
        <c:noMultiLvlLbl val="0"/>
      </c:catAx>
      <c:valAx>
        <c:axId val="-205932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8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 </a:t>
            </a:r>
            <a:br>
              <a:rPr lang="en-US" sz="1400" b="0" i="0" baseline="0">
                <a:effectLst/>
              </a:rPr>
            </a:br>
            <a:r>
              <a:rPr lang="en-US" sz="1400" b="0" i="0" baseline="0">
                <a:effectLst/>
              </a:rPr>
              <a:t>% según año plantación</a:t>
            </a:r>
            <a:endParaRPr lang="es-ES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'POM-EDAD'!$A$31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'POM-EDAD'!$B$30:$W$30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'POM-EDAD'!$B$31:$W$31</c:f>
              <c:numCache>
                <c:formatCode>0%</c:formatCode>
                <c:ptCount val="22"/>
                <c:pt idx="0">
                  <c:v>0.18383875936056082</c:v>
                </c:pt>
                <c:pt idx="1">
                  <c:v>3.3180200754155821E-2</c:v>
                </c:pt>
                <c:pt idx="2">
                  <c:v>2.5930745127197407E-2</c:v>
                </c:pt>
                <c:pt idx="3">
                  <c:v>3.2808433798927186E-2</c:v>
                </c:pt>
                <c:pt idx="4">
                  <c:v>1.5189335599341445E-2</c:v>
                </c:pt>
                <c:pt idx="5">
                  <c:v>2.6634446863880185E-2</c:v>
                </c:pt>
                <c:pt idx="6">
                  <c:v>5.5034786765096398E-2</c:v>
                </c:pt>
                <c:pt idx="7">
                  <c:v>6.5842583249243192E-2</c:v>
                </c:pt>
                <c:pt idx="8">
                  <c:v>3.397684422964576E-2</c:v>
                </c:pt>
                <c:pt idx="9">
                  <c:v>1.6344468638801846E-2</c:v>
                </c:pt>
                <c:pt idx="10">
                  <c:v>2.0619788623931171E-2</c:v>
                </c:pt>
                <c:pt idx="11">
                  <c:v>2.7112432949174144E-2</c:v>
                </c:pt>
                <c:pt idx="12">
                  <c:v>5.7889425885601989E-3</c:v>
                </c:pt>
                <c:pt idx="13">
                  <c:v>2.3899304264698076E-3</c:v>
                </c:pt>
                <c:pt idx="14">
                  <c:v>7.8203834510595354E-3</c:v>
                </c:pt>
                <c:pt idx="15">
                  <c:v>1.1484943438313241E-2</c:v>
                </c:pt>
                <c:pt idx="16">
                  <c:v>9.3207286632322472E-3</c:v>
                </c:pt>
                <c:pt idx="17">
                  <c:v>5.4941845026289238E-2</c:v>
                </c:pt>
                <c:pt idx="18">
                  <c:v>6.9307982367624421E-2</c:v>
                </c:pt>
                <c:pt idx="19">
                  <c:v>7.7858622337883057E-2</c:v>
                </c:pt>
                <c:pt idx="20">
                  <c:v>0.11194168569759415</c:v>
                </c:pt>
                <c:pt idx="21">
                  <c:v>0.11232673004408093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04-495C-815E-15736112EF9A}"/>
            </c:ext>
          </c:extLst>
        </c:ser>
        <c:ser>
          <c:idx val="1"/>
          <c:order val="1"/>
          <c:tx>
            <c:strRef>
              <c:f>'POM-EDAD'!$A$32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'POM-EDAD'!$B$30:$W$30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'POM-EDAD'!$B$32:$W$32</c:f>
              <c:numCache>
                <c:formatCode>0%</c:formatCode>
                <c:ptCount val="22"/>
                <c:pt idx="0">
                  <c:v>0.15320297870487307</c:v>
                </c:pt>
                <c:pt idx="1">
                  <c:v>1.7898358228454477E-2</c:v>
                </c:pt>
                <c:pt idx="2">
                  <c:v>3.41636545747507E-2</c:v>
                </c:pt>
                <c:pt idx="3">
                  <c:v>5.5741845577668443E-3</c:v>
                </c:pt>
                <c:pt idx="4">
                  <c:v>3.0462047641858652E-2</c:v>
                </c:pt>
                <c:pt idx="5">
                  <c:v>2.3864477637939301E-2</c:v>
                </c:pt>
                <c:pt idx="6">
                  <c:v>5.9399904193702932E-2</c:v>
                </c:pt>
                <c:pt idx="7">
                  <c:v>1.9357226843182519E-2</c:v>
                </c:pt>
                <c:pt idx="8">
                  <c:v>5.1038627357052661E-2</c:v>
                </c:pt>
                <c:pt idx="9">
                  <c:v>1.3108043374123593E-2</c:v>
                </c:pt>
                <c:pt idx="10">
                  <c:v>2.3320123677219882E-2</c:v>
                </c:pt>
                <c:pt idx="11">
                  <c:v>0.15357313939816231</c:v>
                </c:pt>
                <c:pt idx="12">
                  <c:v>1.5241910900143712E-2</c:v>
                </c:pt>
                <c:pt idx="13">
                  <c:v>1.6178199712581113E-2</c:v>
                </c:pt>
                <c:pt idx="14">
                  <c:v>2.2710447241214134E-2</c:v>
                </c:pt>
                <c:pt idx="15">
                  <c:v>3.3031398336454305E-2</c:v>
                </c:pt>
                <c:pt idx="16">
                  <c:v>4.6378957453294435E-2</c:v>
                </c:pt>
                <c:pt idx="17">
                  <c:v>5.0777337455907345E-2</c:v>
                </c:pt>
                <c:pt idx="18">
                  <c:v>3.3031398336454305E-2</c:v>
                </c:pt>
                <c:pt idx="19">
                  <c:v>5.8659582807124515E-2</c:v>
                </c:pt>
                <c:pt idx="20">
                  <c:v>7.1571658755389136E-2</c:v>
                </c:pt>
                <c:pt idx="21">
                  <c:v>5.7570874885685686E-2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04-495C-815E-15736112EF9A}"/>
            </c:ext>
          </c:extLst>
        </c:ser>
        <c:ser>
          <c:idx val="2"/>
          <c:order val="2"/>
          <c:tx>
            <c:strRef>
              <c:f>'POM-EDAD'!$A$37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'POM-EDAD'!$B$30:$W$30</c:f>
              <c:strCache>
                <c:ptCount val="22"/>
                <c:pt idx="0">
                  <c:v>&lt;2.000</c:v>
                </c:pt>
                <c:pt idx="1">
                  <c:v>2.000</c:v>
                </c:pt>
                <c:pt idx="2">
                  <c:v>2.001</c:v>
                </c:pt>
                <c:pt idx="3">
                  <c:v>2.002</c:v>
                </c:pt>
                <c:pt idx="4">
                  <c:v>2.003</c:v>
                </c:pt>
                <c:pt idx="5">
                  <c:v>2.004</c:v>
                </c:pt>
                <c:pt idx="6">
                  <c:v>2.005</c:v>
                </c:pt>
                <c:pt idx="7">
                  <c:v>2.006</c:v>
                </c:pt>
                <c:pt idx="8">
                  <c:v>2.007</c:v>
                </c:pt>
                <c:pt idx="9">
                  <c:v>2.008</c:v>
                </c:pt>
                <c:pt idx="10">
                  <c:v>2.009</c:v>
                </c:pt>
                <c:pt idx="11">
                  <c:v>2.010</c:v>
                </c:pt>
                <c:pt idx="12">
                  <c:v>2.011</c:v>
                </c:pt>
                <c:pt idx="13">
                  <c:v>2.012</c:v>
                </c:pt>
                <c:pt idx="14">
                  <c:v>2.013</c:v>
                </c:pt>
                <c:pt idx="15">
                  <c:v>2.014</c:v>
                </c:pt>
                <c:pt idx="16">
                  <c:v>2.015</c:v>
                </c:pt>
                <c:pt idx="17">
                  <c:v>2.016</c:v>
                </c:pt>
                <c:pt idx="18">
                  <c:v>2.017</c:v>
                </c:pt>
                <c:pt idx="19">
                  <c:v>2.018</c:v>
                </c:pt>
                <c:pt idx="20">
                  <c:v>2.019</c:v>
                </c:pt>
                <c:pt idx="21">
                  <c:v>2.020</c:v>
                </c:pt>
              </c:strCache>
            </c:strRef>
          </c:cat>
          <c:val>
            <c:numRef>
              <c:f>'POM-EDAD'!$B$37:$W$37</c:f>
              <c:numCache>
                <c:formatCode>0%</c:formatCode>
                <c:ptCount val="22"/>
                <c:pt idx="0">
                  <c:v>0.10318885882243164</c:v>
                </c:pt>
                <c:pt idx="1">
                  <c:v>0.16265046188298962</c:v>
                </c:pt>
                <c:pt idx="2">
                  <c:v>1.1360455351311001E-2</c:v>
                </c:pt>
                <c:pt idx="3">
                  <c:v>7.8146869459736867E-4</c:v>
                </c:pt>
                <c:pt idx="4">
                  <c:v>7.8508444527386395E-2</c:v>
                </c:pt>
                <c:pt idx="5">
                  <c:v>1.7192311281142108E-2</c:v>
                </c:pt>
                <c:pt idx="6">
                  <c:v>2.2452645329849773E-2</c:v>
                </c:pt>
                <c:pt idx="7">
                  <c:v>1.4054772790892974E-2</c:v>
                </c:pt>
                <c:pt idx="8">
                  <c:v>4.6281608659139682E-2</c:v>
                </c:pt>
                <c:pt idx="9">
                  <c:v>3.746384249323504E-2</c:v>
                </c:pt>
                <c:pt idx="10">
                  <c:v>6.9748996920780066E-3</c:v>
                </c:pt>
                <c:pt idx="11">
                  <c:v>2.329243258374545E-2</c:v>
                </c:pt>
                <c:pt idx="12">
                  <c:v>5.7956984230661569E-2</c:v>
                </c:pt>
                <c:pt idx="13">
                  <c:v>3.7090603713725856E-2</c:v>
                </c:pt>
                <c:pt idx="14">
                  <c:v>2.4050573854623496E-2</c:v>
                </c:pt>
                <c:pt idx="15">
                  <c:v>8.8515909302976578E-2</c:v>
                </c:pt>
                <c:pt idx="16">
                  <c:v>1.1115517402258093E-2</c:v>
                </c:pt>
                <c:pt idx="17">
                  <c:v>4.7821218624615094E-2</c:v>
                </c:pt>
                <c:pt idx="18">
                  <c:v>6.0056452365400761E-2</c:v>
                </c:pt>
                <c:pt idx="19">
                  <c:v>3.6740692357935985E-2</c:v>
                </c:pt>
                <c:pt idx="20">
                  <c:v>8.0572921526546604E-2</c:v>
                </c:pt>
                <c:pt idx="21">
                  <c:v>2.1904450872445649E-2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04-495C-815E-15736112E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28064"/>
        <c:axId val="-2059327520"/>
      </c:barChart>
      <c:catAx>
        <c:axId val="-205932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7520"/>
        <c:crosses val="autoZero"/>
        <c:auto val="1"/>
        <c:lblAlgn val="ctr"/>
        <c:lblOffset val="100"/>
        <c:noMultiLvlLbl val="0"/>
      </c:catAx>
      <c:valAx>
        <c:axId val="-20593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8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'POM-EDAD'!$B$4:$W$4</c15:sqref>
                  </c15:fullRef>
                </c:ext>
              </c:extLst>
              <c:f>'POM-EDAD'!$C$4:$W$4</c:f>
              <c:numCache>
                <c:formatCode>#,##0</c:formatCode>
                <c:ptCount val="21"/>
                <c:pt idx="0">
                  <c:v>24.99</c:v>
                </c:pt>
                <c:pt idx="1">
                  <c:v>19.529999999999998</c:v>
                </c:pt>
                <c:pt idx="2">
                  <c:v>24.71</c:v>
                </c:pt>
                <c:pt idx="3">
                  <c:v>11.440000000000001</c:v>
                </c:pt>
                <c:pt idx="4">
                  <c:v>20.059999999999999</c:v>
                </c:pt>
                <c:pt idx="5">
                  <c:v>41.45</c:v>
                </c:pt>
                <c:pt idx="6">
                  <c:v>49.589999999999996</c:v>
                </c:pt>
                <c:pt idx="7">
                  <c:v>25.59</c:v>
                </c:pt>
                <c:pt idx="8">
                  <c:v>12.309999999999999</c:v>
                </c:pt>
                <c:pt idx="9">
                  <c:v>15.53</c:v>
                </c:pt>
                <c:pt idx="10">
                  <c:v>20.419999999999998</c:v>
                </c:pt>
                <c:pt idx="11">
                  <c:v>4.3599999999999994</c:v>
                </c:pt>
                <c:pt idx="12">
                  <c:v>1.8</c:v>
                </c:pt>
                <c:pt idx="13">
                  <c:v>5.89</c:v>
                </c:pt>
                <c:pt idx="14">
                  <c:v>8.65</c:v>
                </c:pt>
                <c:pt idx="15">
                  <c:v>7.02</c:v>
                </c:pt>
                <c:pt idx="16">
                  <c:v>41.38</c:v>
                </c:pt>
                <c:pt idx="17">
                  <c:v>52.2</c:v>
                </c:pt>
                <c:pt idx="18">
                  <c:v>58.64</c:v>
                </c:pt>
                <c:pt idx="19">
                  <c:v>84.31</c:v>
                </c:pt>
                <c:pt idx="20">
                  <c:v>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'POM-EDAD'!$B$11:$W$11</c15:sqref>
                  </c15:fullRef>
                </c:ext>
              </c:extLst>
              <c:f>'POM-EDAD'!$C$11:$W$11</c:f>
              <c:numCache>
                <c:formatCode>#,##0</c:formatCode>
                <c:ptCount val="21"/>
                <c:pt idx="0">
                  <c:v>8.2200000000000006</c:v>
                </c:pt>
                <c:pt idx="1">
                  <c:v>15.690000000000001</c:v>
                </c:pt>
                <c:pt idx="2">
                  <c:v>2.56</c:v>
                </c:pt>
                <c:pt idx="3">
                  <c:v>13.99</c:v>
                </c:pt>
                <c:pt idx="4">
                  <c:v>10.96</c:v>
                </c:pt>
                <c:pt idx="5">
                  <c:v>27.28</c:v>
                </c:pt>
                <c:pt idx="6">
                  <c:v>8.89</c:v>
                </c:pt>
                <c:pt idx="7">
                  <c:v>23.439999999999998</c:v>
                </c:pt>
                <c:pt idx="8">
                  <c:v>6.02</c:v>
                </c:pt>
                <c:pt idx="9">
                  <c:v>10.71</c:v>
                </c:pt>
                <c:pt idx="10">
                  <c:v>70.53</c:v>
                </c:pt>
                <c:pt idx="11">
                  <c:v>6.9999999999999991</c:v>
                </c:pt>
                <c:pt idx="12">
                  <c:v>7.43</c:v>
                </c:pt>
                <c:pt idx="13">
                  <c:v>10.43</c:v>
                </c:pt>
                <c:pt idx="14">
                  <c:v>15.170000000000002</c:v>
                </c:pt>
                <c:pt idx="15">
                  <c:v>21.299999999999997</c:v>
                </c:pt>
                <c:pt idx="16">
                  <c:v>23.32</c:v>
                </c:pt>
                <c:pt idx="17">
                  <c:v>15.17</c:v>
                </c:pt>
                <c:pt idx="18">
                  <c:v>26.939999999999998</c:v>
                </c:pt>
                <c:pt idx="19">
                  <c:v>32.870000000000005</c:v>
                </c:pt>
                <c:pt idx="20">
                  <c:v>26.44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'POM-EDAD'!$C$3:$W$3</c:f>
              <c:strCache>
                <c:ptCount val="21"/>
                <c:pt idx="0">
                  <c:v>2.000</c:v>
                </c:pt>
                <c:pt idx="1">
                  <c:v>2.001</c:v>
                </c:pt>
                <c:pt idx="2">
                  <c:v>2.002</c:v>
                </c:pt>
                <c:pt idx="3">
                  <c:v>2.003</c:v>
                </c:pt>
                <c:pt idx="4">
                  <c:v>2.004</c:v>
                </c:pt>
                <c:pt idx="5">
                  <c:v>2.005</c:v>
                </c:pt>
                <c:pt idx="6">
                  <c:v>2.006</c:v>
                </c:pt>
                <c:pt idx="7">
                  <c:v>2.007</c:v>
                </c:pt>
                <c:pt idx="8">
                  <c:v>2.008</c:v>
                </c:pt>
                <c:pt idx="9">
                  <c:v>2.009</c:v>
                </c:pt>
                <c:pt idx="10">
                  <c:v>2.010</c:v>
                </c:pt>
                <c:pt idx="11">
                  <c:v>2.011</c:v>
                </c:pt>
                <c:pt idx="12">
                  <c:v>2.012</c:v>
                </c:pt>
                <c:pt idx="13">
                  <c:v>2.013</c:v>
                </c:pt>
                <c:pt idx="14">
                  <c:v>2.014</c:v>
                </c:pt>
                <c:pt idx="15">
                  <c:v>2.015</c:v>
                </c:pt>
                <c:pt idx="16">
                  <c:v>2.016</c:v>
                </c:pt>
                <c:pt idx="17">
                  <c:v>2.017</c:v>
                </c:pt>
                <c:pt idx="18">
                  <c:v>2.018</c:v>
                </c:pt>
                <c:pt idx="19">
                  <c:v>2.019</c:v>
                </c:pt>
                <c:pt idx="20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'POM-EDAD'!$B$24:$W$24</c15:sqref>
                  </c15:fullRef>
                </c:ext>
              </c:extLst>
              <c:f>'POM-EDAD'!$C$24:$W$24</c:f>
              <c:numCache>
                <c:formatCode>#,##0</c:formatCode>
                <c:ptCount val="21"/>
                <c:pt idx="0">
                  <c:v>139.44999999999999</c:v>
                </c:pt>
                <c:pt idx="1">
                  <c:v>9.74</c:v>
                </c:pt>
                <c:pt idx="2">
                  <c:v>0.67</c:v>
                </c:pt>
                <c:pt idx="3">
                  <c:v>67.31</c:v>
                </c:pt>
                <c:pt idx="4">
                  <c:v>14.739999999999998</c:v>
                </c:pt>
                <c:pt idx="5">
                  <c:v>19.25</c:v>
                </c:pt>
                <c:pt idx="6">
                  <c:v>12.05</c:v>
                </c:pt>
                <c:pt idx="7">
                  <c:v>39.68</c:v>
                </c:pt>
                <c:pt idx="8">
                  <c:v>32.119999999999997</c:v>
                </c:pt>
                <c:pt idx="9">
                  <c:v>5.9799999999999995</c:v>
                </c:pt>
                <c:pt idx="10">
                  <c:v>19.97</c:v>
                </c:pt>
                <c:pt idx="11">
                  <c:v>49.690000000000005</c:v>
                </c:pt>
                <c:pt idx="12">
                  <c:v>31.8</c:v>
                </c:pt>
                <c:pt idx="13">
                  <c:v>20.62</c:v>
                </c:pt>
                <c:pt idx="14">
                  <c:v>75.89</c:v>
                </c:pt>
                <c:pt idx="15">
                  <c:v>9.5299999999999994</c:v>
                </c:pt>
                <c:pt idx="16">
                  <c:v>41</c:v>
                </c:pt>
                <c:pt idx="17">
                  <c:v>51.489999999999995</c:v>
                </c:pt>
                <c:pt idx="18">
                  <c:v>31.499999999999996</c:v>
                </c:pt>
                <c:pt idx="19">
                  <c:v>69.08</c:v>
                </c:pt>
                <c:pt idx="20">
                  <c:v>18.78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9322624"/>
        <c:axId val="-2059331328"/>
      </c:barChart>
      <c:catAx>
        <c:axId val="-2059322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1328"/>
        <c:crosses val="autoZero"/>
        <c:auto val="1"/>
        <c:lblAlgn val="ctr"/>
        <c:lblOffset val="100"/>
        <c:noMultiLvlLbl val="0"/>
      </c:catAx>
      <c:valAx>
        <c:axId val="-205933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2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Pomelo: Andalucía, C. Valenciana y Murcia</a:t>
            </a:r>
            <a:endParaRPr lang="es-ES" sz="1400">
              <a:effectLst/>
            </a:endParaRPr>
          </a:p>
        </c:rich>
      </c:tx>
      <c:layout>
        <c:manualLayout>
          <c:xMode val="edge"/>
          <c:yMode val="edge"/>
          <c:x val="0.224222222222222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'POM-EDAD'!$A$4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'POM-EDAD'!$Q$3:$W$3</c:f>
              <c:strCache>
                <c:ptCount val="7"/>
                <c:pt idx="0">
                  <c:v>2.014</c:v>
                </c:pt>
                <c:pt idx="1">
                  <c:v>2.015</c:v>
                </c:pt>
                <c:pt idx="2">
                  <c:v>2.016</c:v>
                </c:pt>
                <c:pt idx="3">
                  <c:v>2.017</c:v>
                </c:pt>
                <c:pt idx="4">
                  <c:v>2.018</c:v>
                </c:pt>
                <c:pt idx="5">
                  <c:v>2.019</c:v>
                </c:pt>
                <c:pt idx="6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'POM-EDAD'!$B$4:$W$4</c15:sqref>
                  </c15:fullRef>
                </c:ext>
              </c:extLst>
              <c:f>'POM-EDAD'!$Q$4:$W$4</c:f>
              <c:numCache>
                <c:formatCode>#,##0</c:formatCode>
                <c:ptCount val="7"/>
                <c:pt idx="0">
                  <c:v>8.65</c:v>
                </c:pt>
                <c:pt idx="1">
                  <c:v>7.02</c:v>
                </c:pt>
                <c:pt idx="2">
                  <c:v>41.38</c:v>
                </c:pt>
                <c:pt idx="3">
                  <c:v>52.2</c:v>
                </c:pt>
                <c:pt idx="4">
                  <c:v>58.64</c:v>
                </c:pt>
                <c:pt idx="5">
                  <c:v>84.31</c:v>
                </c:pt>
                <c:pt idx="6">
                  <c:v>84.6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5-49CF-9D74-9E6C9E62166F}"/>
            </c:ext>
          </c:extLst>
        </c:ser>
        <c:ser>
          <c:idx val="1"/>
          <c:order val="1"/>
          <c:tx>
            <c:strRef>
              <c:f>'POM-EDAD'!$A$11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'POM-EDAD'!$Q$3:$W$3</c:f>
              <c:strCache>
                <c:ptCount val="7"/>
                <c:pt idx="0">
                  <c:v>2.014</c:v>
                </c:pt>
                <c:pt idx="1">
                  <c:v>2.015</c:v>
                </c:pt>
                <c:pt idx="2">
                  <c:v>2.016</c:v>
                </c:pt>
                <c:pt idx="3">
                  <c:v>2.017</c:v>
                </c:pt>
                <c:pt idx="4">
                  <c:v>2.018</c:v>
                </c:pt>
                <c:pt idx="5">
                  <c:v>2.019</c:v>
                </c:pt>
                <c:pt idx="6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'POM-EDAD'!$B$11:$W$11</c15:sqref>
                  </c15:fullRef>
                </c:ext>
              </c:extLst>
              <c:f>'POM-EDAD'!$Q$11:$W$11</c:f>
              <c:numCache>
                <c:formatCode>#,##0</c:formatCode>
                <c:ptCount val="7"/>
                <c:pt idx="0">
                  <c:v>15.170000000000002</c:v>
                </c:pt>
                <c:pt idx="1">
                  <c:v>21.299999999999997</c:v>
                </c:pt>
                <c:pt idx="2">
                  <c:v>23.32</c:v>
                </c:pt>
                <c:pt idx="3">
                  <c:v>15.17</c:v>
                </c:pt>
                <c:pt idx="4">
                  <c:v>26.939999999999998</c:v>
                </c:pt>
                <c:pt idx="5">
                  <c:v>32.870000000000005</c:v>
                </c:pt>
                <c:pt idx="6">
                  <c:v>26.44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55-49CF-9D74-9E6C9E62166F}"/>
            </c:ext>
          </c:extLst>
        </c:ser>
        <c:ser>
          <c:idx val="2"/>
          <c:order val="2"/>
          <c:tx>
            <c:strRef>
              <c:f>'POM-EDAD'!$A$24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'POM-EDAD'!$B$3:$W$3</c15:sqref>
                  </c15:fullRef>
                </c:ext>
              </c:extLst>
              <c:f>'POM-EDAD'!$Q$3:$W$3</c:f>
              <c:strCache>
                <c:ptCount val="7"/>
                <c:pt idx="0">
                  <c:v>2.014</c:v>
                </c:pt>
                <c:pt idx="1">
                  <c:v>2.015</c:v>
                </c:pt>
                <c:pt idx="2">
                  <c:v>2.016</c:v>
                </c:pt>
                <c:pt idx="3">
                  <c:v>2.017</c:v>
                </c:pt>
                <c:pt idx="4">
                  <c:v>2.018</c:v>
                </c:pt>
                <c:pt idx="5">
                  <c:v>2.019</c:v>
                </c:pt>
                <c:pt idx="6">
                  <c:v>2.020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'POM-EDAD'!$B$24:$W$24</c15:sqref>
                  </c15:fullRef>
                </c:ext>
              </c:extLst>
              <c:f>'POM-EDAD'!$Q$24:$W$24</c:f>
              <c:numCache>
                <c:formatCode>#,##0</c:formatCode>
                <c:ptCount val="7"/>
                <c:pt idx="0">
                  <c:v>75.89</c:v>
                </c:pt>
                <c:pt idx="1">
                  <c:v>9.5299999999999994</c:v>
                </c:pt>
                <c:pt idx="2">
                  <c:v>41</c:v>
                </c:pt>
                <c:pt idx="3">
                  <c:v>51.489999999999995</c:v>
                </c:pt>
                <c:pt idx="4">
                  <c:v>31.499999999999996</c:v>
                </c:pt>
                <c:pt idx="5">
                  <c:v>69.08</c:v>
                </c:pt>
                <c:pt idx="6">
                  <c:v>18.78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55-49CF-9D74-9E6C9E621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59310112"/>
        <c:axId val="-2059309568"/>
      </c:barChart>
      <c:catAx>
        <c:axId val="-2059310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Años de plantación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09568"/>
        <c:crosses val="autoZero"/>
        <c:auto val="1"/>
        <c:lblAlgn val="ctr"/>
        <c:lblOffset val="100"/>
        <c:noMultiLvlLbl val="0"/>
      </c:catAx>
      <c:valAx>
        <c:axId val="-205930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Superficie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0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'NAR-PEND'!$A$42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3028A11-7881-4F56-9F03-CE7A2655197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319-42BD-86E5-B8EB1335ECF6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B426596-60BD-4E97-852D-87A290FFBD6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2492FE-5FA3-4A92-A75A-AF2474FDFA4B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FE3CD23-1C55-4507-9E14-9993F730C38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'NAR-PEND'!$B$25:$E$25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'NAR-PEND'!$B$42:$E$42</c:f>
              <c:numCache>
                <c:formatCode>#,##0</c:formatCode>
                <c:ptCount val="4"/>
                <c:pt idx="0">
                  <c:v>72614.219416666674</c:v>
                </c:pt>
                <c:pt idx="1">
                  <c:v>22747.561285714248</c:v>
                </c:pt>
                <c:pt idx="2">
                  <c:v>6514.0606666666699</c:v>
                </c:pt>
                <c:pt idx="3">
                  <c:v>3791.1121666666631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319-42BD-86E5-B8EB1335ECF6}"/>
            </c:ext>
            <c:ext xmlns:c15="http://schemas.microsoft.com/office/drawing/2012/chart" uri="{02D57815-91ED-43cb-92C2-25804820EDAC}">
              <c15:datalabelsRange>
                <c15:f>'NAR-PEND'!$B$62:$E$62</c15:f>
                <c15:dlblRangeCache>
                  <c:ptCount val="4"/>
                  <c:pt idx="0">
                    <c:v>69%</c:v>
                  </c:pt>
                  <c:pt idx="1">
                    <c:v>22%</c:v>
                  </c:pt>
                  <c:pt idx="2">
                    <c:v>6%</c:v>
                  </c:pt>
                  <c:pt idx="3">
                    <c:v>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25344"/>
        <c:axId val="-2059313920"/>
      </c:barChart>
      <c:catAx>
        <c:axId val="-2059325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3920"/>
        <c:crosses val="autoZero"/>
        <c:auto val="1"/>
        <c:lblAlgn val="ctr"/>
        <c:lblOffset val="100"/>
        <c:noMultiLvlLbl val="0"/>
      </c:catAx>
      <c:valAx>
        <c:axId val="-205931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5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NARANJO: pendiente en </a:t>
            </a:r>
          </a:p>
          <a:p>
            <a:pPr>
              <a:defRPr/>
            </a:pPr>
            <a:r>
              <a:rPr lang="es-ES"/>
              <a:t>Andalucía y C. Valenciana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'NAR-PEND'!$A$46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'NAR-PEND'!$B$45:$E$45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'NAR-PEND'!$B$46:$E$46</c:f>
              <c:numCache>
                <c:formatCode>0%</c:formatCode>
                <c:ptCount val="4"/>
                <c:pt idx="0">
                  <c:v>0.66735888453738934</c:v>
                </c:pt>
                <c:pt idx="1">
                  <c:v>0.23313938753685562</c:v>
                </c:pt>
                <c:pt idx="2">
                  <c:v>6.284423783306485E-2</c:v>
                </c:pt>
                <c:pt idx="3">
                  <c:v>3.6657490092690349E-2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5F-4436-8F98-E13E39806EC4}"/>
            </c:ext>
          </c:extLst>
        </c:ser>
        <c:ser>
          <c:idx val="1"/>
          <c:order val="1"/>
          <c:tx>
            <c:strRef>
              <c:f>'NAR-PEND'!$A$49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'NAR-PEND'!$B$45:$E$45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'NAR-PEND'!$B$49:$E$49</c:f>
              <c:numCache>
                <c:formatCode>0%</c:formatCode>
                <c:ptCount val="4"/>
                <c:pt idx="0">
                  <c:v>0.70661099678845307</c:v>
                </c:pt>
                <c:pt idx="1">
                  <c:v>0.19865501408992167</c:v>
                </c:pt>
                <c:pt idx="2">
                  <c:v>6.0758507434703402E-2</c:v>
                </c:pt>
                <c:pt idx="3">
                  <c:v>3.3975481686921903E-2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D5F-4436-8F98-E13E3980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30784"/>
        <c:axId val="-2059326976"/>
      </c:barChart>
      <c:catAx>
        <c:axId val="-205933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6976"/>
        <c:crosses val="autoZero"/>
        <c:auto val="1"/>
        <c:lblAlgn val="ctr"/>
        <c:lblOffset val="100"/>
        <c:noMultiLvlLbl val="0"/>
      </c:catAx>
      <c:valAx>
        <c:axId val="-2059326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0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Distribución</a:t>
            </a:r>
            <a:r>
              <a:rPr lang="es-ES" baseline="0"/>
              <a:t> de la superficie por pendiente y producto (%)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'NAR-PEND'!$A$67</c:f>
              <c:strCache>
                <c:ptCount val="1"/>
                <c:pt idx="0">
                  <c:v>Naranjo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'NAR-PEND'!$B$66:$E$66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'NAR-PEND'!$B$67:$E$67</c:f>
              <c:numCache>
                <c:formatCode>0%</c:formatCode>
                <c:ptCount val="4"/>
                <c:pt idx="0">
                  <c:v>0.68719894902736911</c:v>
                </c:pt>
                <c:pt idx="1">
                  <c:v>0.21527602078568328</c:v>
                </c:pt>
                <c:pt idx="2">
                  <c:v>6.1647094467098366E-2</c:v>
                </c:pt>
                <c:pt idx="3">
                  <c:v>3.5877935719849346E-2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32-4037-87EC-EC989D4CB5BE}"/>
            </c:ext>
          </c:extLst>
        </c:ser>
        <c:ser>
          <c:idx val="1"/>
          <c:order val="1"/>
          <c:tx>
            <c:strRef>
              <c:f>'NAR-PEND'!$A$68</c:f>
              <c:strCache>
                <c:ptCount val="1"/>
                <c:pt idx="0">
                  <c:v>Pequeños cítricos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'NAR-PEND'!$B$66:$E$66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'NAR-PEND'!$B$68:$E$68</c:f>
              <c:numCache>
                <c:formatCode>0%</c:formatCode>
                <c:ptCount val="4"/>
                <c:pt idx="0">
                  <c:v>0.62648202711576695</c:v>
                </c:pt>
                <c:pt idx="1">
                  <c:v>0.25754156325300476</c:v>
                </c:pt>
                <c:pt idx="2">
                  <c:v>7.1873913729591399E-2</c:v>
                </c:pt>
                <c:pt idx="3">
                  <c:v>4.4102495901636805E-2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C32-4037-87EC-EC989D4CB5BE}"/>
            </c:ext>
          </c:extLst>
        </c:ser>
        <c:ser>
          <c:idx val="2"/>
          <c:order val="2"/>
          <c:tx>
            <c:strRef>
              <c:f>'NAR-PEND'!$A$69</c:f>
              <c:strCache>
                <c:ptCount val="1"/>
                <c:pt idx="0">
                  <c:v>Limonero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'NAR-PEND'!$B$66:$E$66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'NAR-PEND'!$B$69:$E$69</c:f>
              <c:numCache>
                <c:formatCode>0%</c:formatCode>
                <c:ptCount val="4"/>
                <c:pt idx="0">
                  <c:v>0.56813079171515268</c:v>
                </c:pt>
                <c:pt idx="1">
                  <c:v>0.26745402548196073</c:v>
                </c:pt>
                <c:pt idx="2">
                  <c:v>0.10011406738715753</c:v>
                </c:pt>
                <c:pt idx="3">
                  <c:v>6.4301115415729027E-2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C32-4037-87EC-EC989D4CB5BE}"/>
            </c:ext>
          </c:extLst>
        </c:ser>
        <c:ser>
          <c:idx val="3"/>
          <c:order val="3"/>
          <c:tx>
            <c:strRef>
              <c:f>'NAR-PEND'!$A$70</c:f>
              <c:strCache>
                <c:ptCount val="1"/>
                <c:pt idx="0">
                  <c:v>Pomelo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s-ES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'NAR-PEND'!$B$66:$E$66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'NAR-PEND'!$B$70:$E$70</c:f>
              <c:numCache>
                <c:formatCode>0%</c:formatCode>
                <c:ptCount val="4"/>
                <c:pt idx="0">
                  <c:v>0.64215213201339538</c:v>
                </c:pt>
                <c:pt idx="1">
                  <c:v>0.27807401190588771</c:v>
                </c:pt>
                <c:pt idx="2">
                  <c:v>6.2942533843996701E-2</c:v>
                </c:pt>
                <c:pt idx="3">
                  <c:v>1.6831322236720202E-2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C32-4037-87EC-EC989D4CB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24800"/>
        <c:axId val="-2059313376"/>
      </c:barChart>
      <c:catAx>
        <c:axId val="-205932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3376"/>
        <c:crosses val="autoZero"/>
        <c:auto val="1"/>
        <c:lblAlgn val="ctr"/>
        <c:lblOffset val="100"/>
        <c:noMultiLvlLbl val="0"/>
      </c:catAx>
      <c:valAx>
        <c:axId val="-205931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CÍTRICOS: % SUPERFICIE POR PENDIENTE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'NAR-PEND'!$A$71</c:f>
              <c:strCache>
                <c:ptCount val="1"/>
                <c:pt idx="0">
                  <c:v>CITRICOS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gradFill flip="none" rotWithShape="1">
                <a:gsLst>
                  <a:gs pos="0">
                    <a:schemeClr val="accent6">
                      <a:lumMod val="5000"/>
                      <a:lumOff val="95000"/>
                    </a:schemeClr>
                  </a:gs>
                  <a:gs pos="74000">
                    <a:schemeClr val="accent6">
                      <a:lumMod val="45000"/>
                      <a:lumOff val="55000"/>
                    </a:schemeClr>
                  </a:gs>
                  <a:gs pos="83000">
                    <a:schemeClr val="accent6">
                      <a:lumMod val="45000"/>
                      <a:lumOff val="55000"/>
                    </a:schemeClr>
                  </a:gs>
                  <a:gs pos="100000">
                    <a:schemeClr val="accent6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'NAR-PEND'!$B$66:$E$66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'NAR-PEND'!$B$71:$E$71</c:f>
              <c:numCache>
                <c:formatCode>0%</c:formatCode>
                <c:ptCount val="4"/>
                <c:pt idx="0">
                  <c:v>0.630990974967921</c:v>
                </c:pt>
                <c:pt idx="1">
                  <c:v>0.25458640535663413</c:v>
                </c:pt>
                <c:pt idx="2">
                  <c:v>7.4144402356961001E-2</c:v>
                </c:pt>
                <c:pt idx="3">
                  <c:v>4.0278217318483849E-2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97-4FE3-B395-28B4810BD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26432"/>
        <c:axId val="-2059322080"/>
      </c:barChart>
      <c:catAx>
        <c:axId val="-20593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2080"/>
        <c:crosses val="autoZero"/>
        <c:auto val="1"/>
        <c:lblAlgn val="ctr"/>
        <c:lblOffset val="100"/>
        <c:noMultiLvlLbl val="0"/>
      </c:catAx>
      <c:valAx>
        <c:axId val="-205932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PEQUEÑOS</a:t>
            </a:r>
            <a:r>
              <a:rPr lang="es-ES" baseline="0"/>
              <a:t> CÍTRICOS: pendiente en España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'PC-PEND'!$A$42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229599D0-8DFA-49C6-B51E-80797259C37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1A555FE-5564-46D4-A48C-B45766AC903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A7368BD-8124-4910-BB8E-93A713C61E78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4008C0-6770-4C24-AA4D-AD7C3733F15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'PC-PEND'!$B$25:$E$25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'PC-PEND'!$B$42:$E$42</c:f>
              <c:numCache>
                <c:formatCode>#,##0</c:formatCode>
                <c:ptCount val="4"/>
                <c:pt idx="0">
                  <c:v>48772.824166666665</c:v>
                </c:pt>
                <c:pt idx="1">
                  <c:v>20050.103333333333</c:v>
                </c:pt>
                <c:pt idx="2">
                  <c:v>5595.5216666666711</c:v>
                </c:pt>
                <c:pt idx="3">
                  <c:v>3433.4636666666697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EE3-4719-A68D-770A78F5E1AC}"/>
            </c:ext>
            <c:ext xmlns:c15="http://schemas.microsoft.com/office/drawing/2012/chart" uri="{02D57815-91ED-43cb-92C2-25804820EDAC}">
              <c15:datalabelsRange>
                <c15:f>'PC-PEND'!$B$62:$F$62</c15:f>
                <c15:dlblRangeCache>
                  <c:ptCount val="5"/>
                  <c:pt idx="0">
                    <c:v>63%</c:v>
                  </c:pt>
                  <c:pt idx="1">
                    <c:v>26%</c:v>
                  </c:pt>
                  <c:pt idx="2">
                    <c:v>7%</c:v>
                  </c:pt>
                  <c:pt idx="3">
                    <c:v>4%</c:v>
                  </c:pt>
                  <c:pt idx="4">
                    <c:v>100%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21536"/>
        <c:axId val="-2059319904"/>
      </c:barChart>
      <c:catAx>
        <c:axId val="-205932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9904"/>
        <c:crosses val="autoZero"/>
        <c:auto val="1"/>
        <c:lblAlgn val="ctr"/>
        <c:lblOffset val="100"/>
        <c:noMultiLvlLbl val="0"/>
      </c:catAx>
      <c:valAx>
        <c:axId val="-20593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2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PEQUEÑOS CÍTRICOS: pendiente en Andalucía, </a:t>
            </a:r>
          </a:p>
          <a:p>
            <a:pPr>
              <a:defRPr/>
            </a:pPr>
            <a:r>
              <a:rPr lang="en-US"/>
              <a:t>C. Valenciana y Cataluña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'PC-PEND'!$A$46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'PC-PEND'!$B$46:$E$46</c:f>
              <c:numCache>
                <c:formatCode>0%</c:formatCode>
                <c:ptCount val="4"/>
                <c:pt idx="0">
                  <c:v>0.48462223611867994</c:v>
                </c:pt>
                <c:pt idx="1">
                  <c:v>0.38420367150692153</c:v>
                </c:pt>
                <c:pt idx="2">
                  <c:v>7.4450265445173358E-2</c:v>
                </c:pt>
                <c:pt idx="3">
                  <c:v>5.6723826929224931E-2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32-4C62-B84B-42EA0D73F1FD}"/>
            </c:ext>
          </c:extLst>
        </c:ser>
        <c:ser>
          <c:idx val="2"/>
          <c:order val="1"/>
          <c:tx>
            <c:strRef>
              <c:f>'PC-PEND'!$A$49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'PC-PEND'!$B$49:$E$49</c:f>
              <c:numCache>
                <c:formatCode>0%</c:formatCode>
                <c:ptCount val="4"/>
                <c:pt idx="0">
                  <c:v>0.64638317710346038</c:v>
                </c:pt>
                <c:pt idx="1">
                  <c:v>0.23412101975569166</c:v>
                </c:pt>
                <c:pt idx="2">
                  <c:v>7.5161290106138035E-2</c:v>
                </c:pt>
                <c:pt idx="3">
                  <c:v>4.4334513034709991E-2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D32-4C62-B84B-42EA0D73F1FD}"/>
            </c:ext>
          </c:extLst>
        </c:ser>
        <c:ser>
          <c:idx val="1"/>
          <c:order val="2"/>
          <c:tx>
            <c:strRef>
              <c:f>'PC-PEND'!$A$53</c:f>
              <c:strCache>
                <c:ptCount val="1"/>
                <c:pt idx="0">
                  <c:v>CATALUÑA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'PC-PEND'!$B$53:$E$53</c:f>
              <c:numCache>
                <c:formatCode>0%</c:formatCode>
                <c:ptCount val="4"/>
                <c:pt idx="0">
                  <c:v>0.80431440758291239</c:v>
                </c:pt>
                <c:pt idx="1">
                  <c:v>0.11616168278623852</c:v>
                </c:pt>
                <c:pt idx="2">
                  <c:v>4.7796527109032948E-2</c:v>
                </c:pt>
                <c:pt idx="3">
                  <c:v>3.1727382521815971E-2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0F-44DA-9892-8090190BF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19360"/>
        <c:axId val="-2059318816"/>
      </c:barChart>
      <c:catAx>
        <c:axId val="-205931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8816"/>
        <c:crosses val="autoZero"/>
        <c:auto val="1"/>
        <c:lblAlgn val="ctr"/>
        <c:lblOffset val="100"/>
        <c:noMultiLvlLbl val="0"/>
      </c:catAx>
      <c:valAx>
        <c:axId val="-20593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9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Representatividad de la </a:t>
            </a:r>
          </a:p>
          <a:p>
            <a:pPr>
              <a:defRPr/>
            </a:pPr>
            <a:r>
              <a:rPr lang="en-US"/>
              <a:t>información de</a:t>
            </a:r>
            <a:r>
              <a:rPr lang="en-US" baseline="0"/>
              <a:t> Superficies anuales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32053105861767278"/>
          <c:y val="0.32398694954797314"/>
          <c:w val="0.35893788276465444"/>
          <c:h val="0.5982298046077573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A33-4CE8-82AB-653B1F0191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2.8951115485564279E-2"/>
                  <c:y val="-5.0175524934383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11E-4C45-9FEE-FDCE5795B7D0}"/>
                </c:ext>
                <c:ext xmlns:c15="http://schemas.microsoft.com/office/drawing/2012/chart" uri="{CE6537A1-D6FC-4f65-9D91-7224C49458BB}">
                  <c15:layout>
                    <c:manualLayout>
                      <c:w val="0.26265288713910756"/>
                      <c:h val="0.2173611111111110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7446631671041122E-2"/>
                  <c:y val="0.117606809565470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11E-4C45-9FEE-FDCE5795B7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55008748906385E-2"/>
                  <c:y val="1.15325167687372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0E4-4EB7-BE15-22E72B3D291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483814523184497E-2"/>
                  <c:y val="1.24701079031787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A11E-4C45-9FEE-FDCE5795B7D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('NAR-REPR'!$A$8,'NAR-REPR'!$A$17,'NAR-REPR'!$A$19,'NAR-REPR'!$A$23,'NAR-REPR'!$A$25,'NAR-REPR'!$A$27,'NAR-REPR'!$A$31,'NAR-REPR'!$A$34,'NAR-REPR'!$A$39,'NAR-REPR'!$A$41,'NAR-REPR'!$A$44,'NAR-REPR'!$A$46)</c15:sqref>
                  </c15:fullRef>
                </c:ext>
              </c:extLst>
              <c:f>('NAR-REPR'!$A$8,'NAR-REPR'!$A$19,'NAR-REPR'!$A$27,'NAR-REPR'!$A$39,'NAR-REPR'!$A$44)</c:f>
              <c:strCache>
                <c:ptCount val="5"/>
                <c:pt idx="0">
                  <c:v>ANDALUCÍA</c:v>
                </c:pt>
                <c:pt idx="1">
                  <c:v>C. VALENCIANA</c:v>
                </c:pt>
                <c:pt idx="2">
                  <c:v>CATALUÑA</c:v>
                </c:pt>
                <c:pt idx="3">
                  <c:v>I. BALEARES</c:v>
                </c:pt>
                <c:pt idx="4">
                  <c:v>MURCIA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('NAR-REPR'!$D$8,'NAR-REPR'!$D$17,'NAR-REPR'!$D$19,'NAR-REPR'!$D$23,'NAR-REPR'!$D$25,'NAR-REPR'!$D$27,'NAR-REPR'!$D$31,'NAR-REPR'!$D$34,'NAR-REPR'!$D$39,'NAR-REPR'!$D$41,'NAR-REPR'!$D$44,'NAR-REPR'!$D$46)</c15:sqref>
                  </c15:fullRef>
                </c:ext>
              </c:extLst>
              <c:f>('NAR-REPR'!$D$8,'NAR-REPR'!$D$19,'NAR-REPR'!$D$27,'NAR-REPR'!$D$39,'NAR-REPR'!$D$44)</c:f>
              <c:numCache>
                <c:formatCode>#,##0</c:formatCode>
                <c:ptCount val="5"/>
                <c:pt idx="0">
                  <c:v>57837</c:v>
                </c:pt>
                <c:pt idx="1">
                  <c:v>70349</c:v>
                </c:pt>
                <c:pt idx="2">
                  <c:v>2188</c:v>
                </c:pt>
                <c:pt idx="3">
                  <c:v>1677</c:v>
                </c:pt>
                <c:pt idx="4">
                  <c:v>7161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50-4162-8DED-C3CDF9D43D75}"/>
            </c:ext>
            <c:ext xmlns:c15="http://schemas.microsoft.com/office/drawing/2012/chart" uri="{02D57815-91ED-43cb-92C2-25804820EDAC}">
              <c15:categoryFilterExceptions>
                <c15:categoryFilterException>
                  <c15:sqref>'NAR-REPR'!$D$17</c15:sqref>
                  <c15:spPr xmlns:c15="http://schemas.microsoft.com/office/drawing/2012/chart">
                    <a:solidFill>
                      <a:schemeClr val="accent2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'NAR-REPR'!$D$23</c15:sqref>
                  <c15:spPr xmlns:c15="http://schemas.microsoft.com/office/drawing/2012/chart">
                    <a:solidFill>
                      <a:schemeClr val="accent4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'NAR-REPR'!$D$25</c15:sqref>
                  <c15:spPr xmlns:c15="http://schemas.microsoft.com/office/drawing/2012/chart">
                    <a:solidFill>
                      <a:schemeClr val="accent5"/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1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0F-1752-4D6A-B394-C8A1069C9A4C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'NAR-REPR'!$D$31</c15:sqref>
                  <c15:spPr xmlns:c15="http://schemas.microsoft.com/office/drawing/2012/chart">
                    <a:solidFill>
                      <a:schemeClr val="accent1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1-1752-4D6A-B394-C8A1069C9A4C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'NAR-REPR'!$D$34</c15:sqref>
                  <c15:spPr xmlns:c15="http://schemas.microsoft.com/office/drawing/2012/chart">
                    <a:solidFill>
                      <a:schemeClr val="accent2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2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3-1752-4D6A-B394-C8A1069C9A4C}"/>
                      </c:ext>
                      <c:ext uri="{CE6537A1-D6FC-4f65-9D91-7224C49458BB}"/>
                    </c:extLst>
                  </c15:dLbl>
                </c15:categoryFilterException>
                <c15:categoryFilterException>
                  <c15:sqref>'NAR-REPR'!$D$41</c15:sqref>
                  <c15:spPr xmlns:c15="http://schemas.microsoft.com/office/drawing/2012/chart">
                    <a:solidFill>
                      <a:schemeClr val="accent4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</c15:categoryFilterException>
                <c15:categoryFilterException>
                  <c15:sqref>'NAR-REPR'!$D$46</c15:sqref>
                  <c15:spPr xmlns:c15="http://schemas.microsoft.com/office/drawing/2012/chart">
                    <a:solidFill>
                      <a:schemeClr val="accent6">
                        <a:lumMod val="60000"/>
                      </a:schemeClr>
                    </a:solidFill>
                    <a:ln w="19050">
                      <a:solidFill>
                        <a:schemeClr val="lt1"/>
                      </a:solidFill>
                    </a:ln>
                    <a:effectLst/>
                  </c15:spPr>
                  <c15:bubble3D val="0"/>
                  <c15:dLbl>
                    <c:idx val="4"/>
                    <c:delete val="1"/>
                    <c:extLst xmlns:c16="http://schemas.microsoft.com/office/drawing/2014/chart" xmlns:c16r2="http://schemas.microsoft.com/office/drawing/2015/06/chart">
                      <c:ext xmlns:c16="http://schemas.microsoft.com/office/drawing/2014/chart" uri="{C3380CC4-5D6E-409C-BE32-E72D297353CC}">
                        <c16:uniqueId val="{00000017-1752-4D6A-B394-C8A1069C9A4C}"/>
                      </c:ext>
                      <c:ext uri="{CE6537A1-D6FC-4f65-9D91-7224C49458BB}"/>
                    </c:extLst>
                  </c15:dLbl>
                </c15:categoryFilterException>
              </c15:categoryFilterExceptions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Distinción por productos de pequeños cítricos: </a:t>
            </a:r>
          </a:p>
          <a:p>
            <a:pPr>
              <a:defRPr/>
            </a:pPr>
            <a:r>
              <a:rPr lang="en-US"/>
              <a:t>pendiente en España</a:t>
            </a:r>
          </a:p>
        </c:rich>
      </c:tx>
      <c:layout>
        <c:manualLayout>
          <c:xMode val="edge"/>
          <c:yMode val="edge"/>
          <c:x val="0.12213888888888889"/>
          <c:y val="2.7777867972688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'PC-PEND'!$A$66</c:f>
              <c:strCache>
                <c:ptCount val="1"/>
                <c:pt idx="0">
                  <c:v>Clementinas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'PC-PEND'!$B$66:$E$66</c:f>
              <c:numCache>
                <c:formatCode>0%</c:formatCode>
                <c:ptCount val="4"/>
                <c:pt idx="0">
                  <c:v>0.66885484678719753</c:v>
                </c:pt>
                <c:pt idx="1">
                  <c:v>0.22538585793933069</c:v>
                </c:pt>
                <c:pt idx="2">
                  <c:v>6.4819935662658187E-2</c:v>
                </c:pt>
                <c:pt idx="3">
                  <c:v>4.0939359610813547E-2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78-4E77-89A3-203B062ABE02}"/>
            </c:ext>
          </c:extLst>
        </c:ser>
        <c:ser>
          <c:idx val="1"/>
          <c:order val="1"/>
          <c:tx>
            <c:strRef>
              <c:f>'PC-PEND'!$A$67</c:f>
              <c:strCache>
                <c:ptCount val="1"/>
                <c:pt idx="0">
                  <c:v>Mandarinos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'PC-PEND'!$B$67:$E$67</c:f>
              <c:numCache>
                <c:formatCode>0%</c:formatCode>
                <c:ptCount val="4"/>
                <c:pt idx="0">
                  <c:v>0.53492640906839872</c:v>
                </c:pt>
                <c:pt idx="1">
                  <c:v>0.35448639278405164</c:v>
                </c:pt>
                <c:pt idx="2">
                  <c:v>7.956048723048266E-2</c:v>
                </c:pt>
                <c:pt idx="3">
                  <c:v>3.1026710917066939E-2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78-4E77-89A3-203B062ABE02}"/>
            </c:ext>
          </c:extLst>
        </c:ser>
        <c:ser>
          <c:idx val="2"/>
          <c:order val="2"/>
          <c:tx>
            <c:strRef>
              <c:f>'PC-PEND'!$A$68</c:f>
              <c:strCache>
                <c:ptCount val="1"/>
                <c:pt idx="0">
                  <c:v>Mandarinos híbridos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'PC-PEND'!$B$68:$E$68</c:f>
              <c:numCache>
                <c:formatCode>0%</c:formatCode>
                <c:ptCount val="4"/>
                <c:pt idx="0">
                  <c:v>0.56890477272786655</c:v>
                </c:pt>
                <c:pt idx="1">
                  <c:v>0.29155622434877571</c:v>
                </c:pt>
                <c:pt idx="2">
                  <c:v>8.4223011189224081E-2</c:v>
                </c:pt>
                <c:pt idx="3">
                  <c:v>5.5315991734133804E-2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78-4E77-89A3-203B062ABE02}"/>
            </c:ext>
          </c:extLst>
        </c:ser>
        <c:ser>
          <c:idx val="3"/>
          <c:order val="3"/>
          <c:tx>
            <c:strRef>
              <c:f>'PC-PEND'!$A$69</c:f>
              <c:strCache>
                <c:ptCount val="1"/>
                <c:pt idx="0">
                  <c:v>Satsumas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'PC-PEND'!$B$65:$E$65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'PC-PEND'!$B$69:$E$69</c:f>
              <c:numCache>
                <c:formatCode>0%</c:formatCode>
                <c:ptCount val="4"/>
                <c:pt idx="0">
                  <c:v>0.68872346602917112</c:v>
                </c:pt>
                <c:pt idx="1">
                  <c:v>0.18425988001990348</c:v>
                </c:pt>
                <c:pt idx="2">
                  <c:v>6.8246428659325398E-2</c:v>
                </c:pt>
                <c:pt idx="3">
                  <c:v>5.8770225291600052E-2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78-4E77-89A3-203B062A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35680"/>
        <c:axId val="-2059318272"/>
      </c:barChart>
      <c:catAx>
        <c:axId val="-205933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8272"/>
        <c:crosses val="autoZero"/>
        <c:auto val="1"/>
        <c:lblAlgn val="ctr"/>
        <c:lblOffset val="100"/>
        <c:noMultiLvlLbl val="0"/>
      </c:catAx>
      <c:valAx>
        <c:axId val="-205931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CLEMENTINAS: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'CLE-PEND'!$A$62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ADE61532-D37B-4CA1-ADB9-A3136BD5AF4F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CCF-462B-99EE-EBBAB9D6645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6143408-16CF-46B7-83B8-72ADDEC8BC7D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0195EBE-622E-4031-B784-380B615BF1E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AE93747-EFD3-4AC8-8EE1-3283FBF6C52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'CLE-PEND'!$B$42:$E$42</c:f>
              <c:numCache>
                <c:formatCode>#,##0</c:formatCode>
                <c:ptCount val="4"/>
                <c:pt idx="0">
                  <c:v>28890.303333333301</c:v>
                </c:pt>
                <c:pt idx="1">
                  <c:v>9735.2450000000008</c:v>
                </c:pt>
                <c:pt idx="2">
                  <c:v>2799.8116666666701</c:v>
                </c:pt>
                <c:pt idx="3">
                  <c:v>1768.3216666666699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2-4792-AE07-ABCD8C24ADA4}"/>
            </c:ext>
            <c:ext xmlns:c15="http://schemas.microsoft.com/office/drawing/2012/chart" uri="{02D57815-91ED-43cb-92C2-25804820EDAC}">
              <c15:datalabelsRange>
                <c15:f>'CLE-PEND'!$B$62:$E$62</c15:f>
                <c15:dlblRangeCache>
                  <c:ptCount val="4"/>
                  <c:pt idx="0">
                    <c:v>67%</c:v>
                  </c:pt>
                  <c:pt idx="1">
                    <c:v>23%</c:v>
                  </c:pt>
                  <c:pt idx="2">
                    <c:v>6%</c:v>
                  </c:pt>
                  <c:pt idx="3">
                    <c:v>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15552"/>
        <c:axId val="-2059336224"/>
      </c:barChart>
      <c:catAx>
        <c:axId val="-205931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</a:t>
                </a:r>
                <a:r>
                  <a:rPr lang="es-ES" baseline="0"/>
                  <a:t> de pendiente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6224"/>
        <c:crosses val="autoZero"/>
        <c:auto val="1"/>
        <c:lblAlgn val="ctr"/>
        <c:lblOffset val="100"/>
        <c:noMultiLvlLbl val="0"/>
      </c:catAx>
      <c:valAx>
        <c:axId val="-20593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5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'MAN-PEND'!$A$62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6C7EFFB-B92D-4F9A-970E-AC451B129A0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51A-4989-8668-24D7CCEEBE92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7DFCCB7-C01D-47F0-8D49-2735C8689C2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132BF91-C72C-4E34-A4E3-F7EB750CC096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5436CB2-4010-4A49-B48A-C63D43DCD344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'MAN-PEND'!$B$42:$E$42</c:f>
              <c:numCache>
                <c:formatCode>#,##0</c:formatCode>
                <c:ptCount val="4"/>
                <c:pt idx="0">
                  <c:v>5892.69333333333</c:v>
                </c:pt>
                <c:pt idx="1">
                  <c:v>3904.9850000000001</c:v>
                </c:pt>
                <c:pt idx="2">
                  <c:v>876.43</c:v>
                </c:pt>
                <c:pt idx="3">
                  <c:v>341.78699999999998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2-4792-AE07-ABCD8C24ADA4}"/>
            </c:ext>
            <c:ext xmlns:c15="http://schemas.microsoft.com/office/drawing/2012/chart" uri="{02D57815-91ED-43cb-92C2-25804820EDAC}">
              <c15:datalabelsRange>
                <c15:f>'MAN-PEND'!$B$62:$E$62</c15:f>
                <c15:dlblRangeCache>
                  <c:ptCount val="4"/>
                  <c:pt idx="0">
                    <c:v>53%</c:v>
                  </c:pt>
                  <c:pt idx="1">
                    <c:v>35%</c:v>
                  </c:pt>
                  <c:pt idx="2">
                    <c:v>8%</c:v>
                  </c:pt>
                  <c:pt idx="3">
                    <c:v>3%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15008"/>
        <c:axId val="-2059341664"/>
      </c:barChart>
      <c:catAx>
        <c:axId val="-2059315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</a:t>
                </a:r>
                <a:r>
                  <a:rPr lang="es-ES" baseline="0"/>
                  <a:t> de pendiente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41664"/>
        <c:crosses val="autoZero"/>
        <c:auto val="1"/>
        <c:lblAlgn val="ctr"/>
        <c:lblOffset val="100"/>
        <c:noMultiLvlLbl val="0"/>
      </c:catAx>
      <c:valAx>
        <c:axId val="-205934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1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MANDARINOS</a:t>
            </a:r>
            <a:r>
              <a:rPr lang="es-ES" baseline="0"/>
              <a:t> HIBRIDOS</a:t>
            </a:r>
            <a:r>
              <a:rPr lang="es-ES"/>
              <a:t>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'MH-PEND'!$A$62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2D75A5B-EB90-46A9-9B8C-BEF1874C720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6D6-4EE0-9B31-CDAB72B39F19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CEB39E-BC11-40E0-8A4F-5A494B86D1C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8C557C2-899D-4DB6-A93B-E66A656C2337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E1D70CD-01BC-45D0-873D-8915D09BFC62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'MH-PEND'!$B$42:$E$42</c:f>
              <c:numCache>
                <c:formatCode>#,##0</c:formatCode>
                <c:ptCount val="4"/>
                <c:pt idx="0">
                  <c:v>10888.24</c:v>
                </c:pt>
                <c:pt idx="1">
                  <c:v>5580.08</c:v>
                </c:pt>
                <c:pt idx="2">
                  <c:v>1611.94</c:v>
                </c:pt>
                <c:pt idx="3">
                  <c:v>1058.69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2-4792-AE07-ABCD8C24ADA4}"/>
            </c:ext>
            <c:ext xmlns:c15="http://schemas.microsoft.com/office/drawing/2012/chart" uri="{02D57815-91ED-43cb-92C2-25804820EDAC}">
              <c15:datalabelsRange>
                <c15:f>'MH-PEND'!$B$62:$E$62</c15:f>
                <c15:dlblRangeCache>
                  <c:ptCount val="4"/>
                  <c:pt idx="0">
                    <c:v>57%</c:v>
                  </c:pt>
                  <c:pt idx="1">
                    <c:v>29%</c:v>
                  </c:pt>
                  <c:pt idx="2">
                    <c:v>8%</c:v>
                  </c:pt>
                  <c:pt idx="3">
                    <c:v>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41120"/>
        <c:axId val="-2059340576"/>
      </c:barChart>
      <c:catAx>
        <c:axId val="-205934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</a:t>
                </a:r>
                <a:r>
                  <a:rPr lang="es-ES" baseline="0"/>
                  <a:t> de pendiente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40576"/>
        <c:crosses val="autoZero"/>
        <c:auto val="1"/>
        <c:lblAlgn val="ctr"/>
        <c:lblOffset val="100"/>
        <c:noMultiLvlLbl val="0"/>
      </c:catAx>
      <c:valAx>
        <c:axId val="-2059340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41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SATSUMAS: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'SAT-PEND'!$A$42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95404E8-4A47-42CB-AD84-1FDD113C74E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354-49D8-9BB9-BEB3C031077C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9E51D2A-2897-446E-9CF7-A9404FCE1310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05A645-CB2A-450E-BEAB-2DD32148487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42238CC-2BF9-4172-8BC0-B16CD6FA005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'SAT-PEND'!$B$42:$E$42</c:f>
              <c:numCache>
                <c:formatCode>#,##0</c:formatCode>
                <c:ptCount val="4"/>
                <c:pt idx="0">
                  <c:v>3101.5875000000001</c:v>
                </c:pt>
                <c:pt idx="1">
                  <c:v>829.79333333333295</c:v>
                </c:pt>
                <c:pt idx="2">
                  <c:v>307.33999999999997</c:v>
                </c:pt>
                <c:pt idx="3">
                  <c:v>264.66500000000002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2-4792-AE07-ABCD8C24ADA4}"/>
            </c:ext>
            <c:ext xmlns:c15="http://schemas.microsoft.com/office/drawing/2012/chart" uri="{02D57815-91ED-43cb-92C2-25804820EDAC}">
              <c15:datalabelsRange>
                <c15:f>'SAT-PEND'!$B$62:$E$62</c15:f>
                <c15:dlblRangeCache>
                  <c:ptCount val="4"/>
                  <c:pt idx="0">
                    <c:v>69%</c:v>
                  </c:pt>
                  <c:pt idx="1">
                    <c:v>18%</c:v>
                  </c:pt>
                  <c:pt idx="2">
                    <c:v>7%</c:v>
                  </c:pt>
                  <c:pt idx="3">
                    <c:v>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40032"/>
        <c:axId val="-2059339488"/>
      </c:barChart>
      <c:catAx>
        <c:axId val="-2059340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</a:t>
                </a:r>
                <a:r>
                  <a:rPr lang="es-ES" baseline="0"/>
                  <a:t> de pendiente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9488"/>
        <c:crosses val="autoZero"/>
        <c:auto val="1"/>
        <c:lblAlgn val="ctr"/>
        <c:lblOffset val="100"/>
        <c:noMultiLvlLbl val="0"/>
      </c:catAx>
      <c:valAx>
        <c:axId val="-205933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4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LIMONERO; pendiente en Andalucía, </a:t>
            </a:r>
          </a:p>
          <a:p>
            <a:pPr>
              <a:defRPr/>
            </a:pPr>
            <a:r>
              <a:rPr lang="en-US"/>
              <a:t>C. Valenciana y Murcia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'LIM-PEND'!$A$46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'LIM-PEND'!$B$46:$E$46</c:f>
              <c:numCache>
                <c:formatCode>0%</c:formatCode>
                <c:ptCount val="4"/>
                <c:pt idx="0">
                  <c:v>0.41546688002003124</c:v>
                </c:pt>
                <c:pt idx="1">
                  <c:v>0.24166898147242513</c:v>
                </c:pt>
                <c:pt idx="2">
                  <c:v>0.16463159377310729</c:v>
                </c:pt>
                <c:pt idx="3">
                  <c:v>0.17823254473443637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59-42C5-B514-9845005DE890}"/>
            </c:ext>
          </c:extLst>
        </c:ser>
        <c:ser>
          <c:idx val="1"/>
          <c:order val="1"/>
          <c:tx>
            <c:strRef>
              <c:f>'LIM-PEND'!$A$49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'LIM-PEND'!$B$49:$E$49</c:f>
              <c:numCache>
                <c:formatCode>0%</c:formatCode>
                <c:ptCount val="4"/>
                <c:pt idx="0">
                  <c:v>0.59125789309027676</c:v>
                </c:pt>
                <c:pt idx="1">
                  <c:v>0.27855210323467416</c:v>
                </c:pt>
                <c:pt idx="2">
                  <c:v>9.2311961415614485E-2</c:v>
                </c:pt>
                <c:pt idx="3">
                  <c:v>3.7878042259434759E-2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59-42C5-B514-9845005DE890}"/>
            </c:ext>
          </c:extLst>
        </c:ser>
        <c:ser>
          <c:idx val="2"/>
          <c:order val="2"/>
          <c:tx>
            <c:strRef>
              <c:f>'LIM-PEND'!$A$59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'LIM-PEND'!$B$59:$E$59</c:f>
              <c:numCache>
                <c:formatCode>0%</c:formatCode>
                <c:ptCount val="4"/>
                <c:pt idx="0">
                  <c:v>0.58698384521495794</c:v>
                </c:pt>
                <c:pt idx="1">
                  <c:v>0.26765979307456039</c:v>
                </c:pt>
                <c:pt idx="2">
                  <c:v>8.9969013780019938E-2</c:v>
                </c:pt>
                <c:pt idx="3">
                  <c:v>5.5387347930461822E-2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59-42C5-B514-9845005DE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38944"/>
        <c:axId val="-2059338400"/>
      </c:barChart>
      <c:catAx>
        <c:axId val="-20593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8400"/>
        <c:crosses val="autoZero"/>
        <c:auto val="1"/>
        <c:lblAlgn val="ctr"/>
        <c:lblOffset val="100"/>
        <c:noMultiLvlLbl val="0"/>
      </c:catAx>
      <c:valAx>
        <c:axId val="-205933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LIMONERO: pendiente en 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'LIM-PEND'!$A$62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E567705-0CFC-495B-B6D4-E26A4350CEE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D5A-458A-9DD7-684A5BF01AEB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DBA4712-DA96-4300-9836-D7E6DF4C229E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0A6054-601C-48AE-B7D3-A94D66D75649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ECFEC53-C8C3-4C8F-8884-CF72FEC44ADF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'LIM-PEND'!$B$45:$E$45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'LIM-PEND'!$B$42:$E$42</c:f>
              <c:numCache>
                <c:formatCode>#,##0</c:formatCode>
                <c:ptCount val="4"/>
                <c:pt idx="0">
                  <c:v>14317.1541666667</c:v>
                </c:pt>
                <c:pt idx="1">
                  <c:v>6739.9629999999997</c:v>
                </c:pt>
                <c:pt idx="2">
                  <c:v>2522.92</c:v>
                </c:pt>
                <c:pt idx="3">
                  <c:v>1620.4173333333299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92-4792-AE07-ABCD8C24ADA4}"/>
            </c:ext>
            <c:ext xmlns:c15="http://schemas.microsoft.com/office/drawing/2012/chart" uri="{02D57815-91ED-43cb-92C2-25804820EDAC}">
              <c15:datalabelsRange>
                <c15:f>'LIM-PEND'!$B$62:$E$62</c15:f>
                <c15:dlblRangeCache>
                  <c:ptCount val="4"/>
                  <c:pt idx="0">
                    <c:v>57%</c:v>
                  </c:pt>
                  <c:pt idx="1">
                    <c:v>27%</c:v>
                  </c:pt>
                  <c:pt idx="2">
                    <c:v>10%</c:v>
                  </c:pt>
                  <c:pt idx="3">
                    <c:v>6%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37856"/>
        <c:axId val="-2059335136"/>
      </c:barChart>
      <c:catAx>
        <c:axId val="-2059337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</a:t>
                </a:r>
                <a:r>
                  <a:rPr lang="es-ES" baseline="0"/>
                  <a:t> de pendiente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5136"/>
        <c:crosses val="autoZero"/>
        <c:auto val="1"/>
        <c:lblAlgn val="ctr"/>
        <c:lblOffset val="100"/>
        <c:noMultiLvlLbl val="0"/>
      </c:catAx>
      <c:valAx>
        <c:axId val="-205933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POMELO: pendiente en</a:t>
            </a:r>
            <a:r>
              <a:rPr lang="es-ES" baseline="0"/>
              <a:t> Andalucía, </a:t>
            </a:r>
          </a:p>
          <a:p>
            <a:pPr>
              <a:defRPr/>
            </a:pPr>
            <a:r>
              <a:rPr lang="es-ES" baseline="0"/>
              <a:t>C. Valenciana y Murcia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'POM-PEND'!$A$46</c:f>
              <c:strCache>
                <c:ptCount val="1"/>
                <c:pt idx="0">
                  <c:v>ANDALUCÍA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'POM-PEND'!$B$46:$E$46</c:f>
              <c:numCache>
                <c:formatCode>0%</c:formatCode>
                <c:ptCount val="4"/>
                <c:pt idx="0">
                  <c:v>0.70553328740527332</c:v>
                </c:pt>
                <c:pt idx="1">
                  <c:v>0.23456190893718293</c:v>
                </c:pt>
                <c:pt idx="2">
                  <c:v>4.5641009582263414E-2</c:v>
                </c:pt>
                <c:pt idx="3">
                  <c:v>1.4263794075280263E-2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C6-4F95-A63B-4B410C29383E}"/>
            </c:ext>
          </c:extLst>
        </c:ser>
        <c:ser>
          <c:idx val="1"/>
          <c:order val="1"/>
          <c:tx>
            <c:strRef>
              <c:f>'POM-PEND'!$A$49</c:f>
              <c:strCache>
                <c:ptCount val="1"/>
                <c:pt idx="0">
                  <c:v>C. VALENCIANA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'POM-PEND'!$B$45:$E$45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'POM-PEND'!$B$49:$E$49</c:f>
              <c:numCache>
                <c:formatCode>0%</c:formatCode>
                <c:ptCount val="4"/>
                <c:pt idx="0">
                  <c:v>0.6110782214665027</c:v>
                </c:pt>
                <c:pt idx="1">
                  <c:v>0.269486372559056</c:v>
                </c:pt>
                <c:pt idx="2">
                  <c:v>9.208704825578555E-2</c:v>
                </c:pt>
                <c:pt idx="3">
                  <c:v>2.7348357718655573E-2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C6-4F95-A63B-4B410C29383E}"/>
            </c:ext>
          </c:extLst>
        </c:ser>
        <c:ser>
          <c:idx val="2"/>
          <c:order val="2"/>
          <c:tx>
            <c:strRef>
              <c:f>'POM-PEND'!$A$59</c:f>
              <c:strCache>
                <c:ptCount val="1"/>
                <c:pt idx="0">
                  <c:v>MURCIA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'POM-PEND'!$B$45:$E$45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'POM-PEND'!$B$59:$E$59</c:f>
              <c:numCache>
                <c:formatCode>0%</c:formatCode>
                <c:ptCount val="4"/>
                <c:pt idx="0">
                  <c:v>0.60762980566184022</c:v>
                </c:pt>
                <c:pt idx="1">
                  <c:v>0.31556785446385233</c:v>
                </c:pt>
                <c:pt idx="2">
                  <c:v>6.3224513209069536E-2</c:v>
                </c:pt>
                <c:pt idx="3">
                  <c:v>1.3577826665237862E-2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FC6-4F95-A63B-4B410C293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9334592"/>
        <c:axId val="-2055983376"/>
      </c:barChart>
      <c:catAx>
        <c:axId val="-2059334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83376"/>
        <c:crosses val="autoZero"/>
        <c:auto val="1"/>
        <c:lblAlgn val="ctr"/>
        <c:lblOffset val="100"/>
        <c:noMultiLvlLbl val="0"/>
      </c:catAx>
      <c:valAx>
        <c:axId val="-205598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9334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POMELO: pendiente en España</a:t>
            </a:r>
            <a:r>
              <a:rPr lang="es-ES" baseline="0"/>
              <a:t> 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'POM-PEND'!$A$62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27CBCED-7922-4AFD-9A1F-2AC7285CEB9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4D1-4B0D-9DE1-615BE2001C35}"/>
                </c:ex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39C4EE-4D51-4CA3-9D43-15DF3389E633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AE83863-AE1A-4AA3-818A-22E5659D5D85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F4FDF6A-49B8-4C24-B3E3-D232E8ED796C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'POM-PEND'!$B$45:$E$45</c:f>
              <c:strCache>
                <c:ptCount val="4"/>
                <c:pt idx="0">
                  <c:v>0-5%</c:v>
                </c:pt>
                <c:pt idx="1">
                  <c:v>5-10%</c:v>
                </c:pt>
                <c:pt idx="2">
                  <c:v>10-15%</c:v>
                </c:pt>
                <c:pt idx="3">
                  <c:v>&gt;=15%</c:v>
                </c:pt>
              </c:strCache>
            </c:strRef>
          </c:cat>
          <c:val>
            <c:numRef>
              <c:f>'POM-PEND'!$B$42:$E$42</c:f>
              <c:numCache>
                <c:formatCode>#,##0</c:formatCode>
                <c:ptCount val="4"/>
                <c:pt idx="0">
                  <c:v>1165.55</c:v>
                </c:pt>
                <c:pt idx="1">
                  <c:v>504.72333333333302</c:v>
                </c:pt>
                <c:pt idx="2">
                  <c:v>114.245</c:v>
                </c:pt>
                <c:pt idx="3">
                  <c:v>30.55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B5B-4A3D-895D-6A84C3E6D0FE}"/>
            </c:ext>
            <c:ext xmlns:c15="http://schemas.microsoft.com/office/drawing/2012/chart" uri="{02D57815-91ED-43cb-92C2-25804820EDAC}">
              <c15:datalabelsRange>
                <c15:f>'POM-PEND'!$B$62:$E$62</c15:f>
                <c15:dlblRangeCache>
                  <c:ptCount val="4"/>
                  <c:pt idx="0">
                    <c:v>64%</c:v>
                  </c:pt>
                  <c:pt idx="1">
                    <c:v>28%</c:v>
                  </c:pt>
                  <c:pt idx="2">
                    <c:v>6%</c:v>
                  </c:pt>
                  <c:pt idx="3">
                    <c:v>2%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5996432"/>
        <c:axId val="-2056003504"/>
      </c:barChart>
      <c:catAx>
        <c:axId val="-205599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Tramos de pendiente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3504"/>
        <c:crosses val="autoZero"/>
        <c:auto val="1"/>
        <c:lblAlgn val="ctr"/>
        <c:lblOffset val="100"/>
        <c:noMultiLvlLbl val="0"/>
      </c:catAx>
      <c:valAx>
        <c:axId val="-205600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Superficie</a:t>
                </a:r>
                <a:r>
                  <a:rPr lang="es-ES" baseline="0"/>
                  <a:t> (ha)</a:t>
                </a:r>
                <a:endParaRPr lang="es-E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599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Naranjo: Superficie vs NºExplotaciones (España)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8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'NAR-EXPL'!$AC$21:$AG$21</c:f>
              <c:numCache>
                <c:formatCode>0%</c:formatCode>
                <c:ptCount val="5"/>
                <c:pt idx="0">
                  <c:v>0.31179057671035915</c:v>
                </c:pt>
                <c:pt idx="1">
                  <c:v>0.13312513541540258</c:v>
                </c:pt>
                <c:pt idx="2">
                  <c:v>0.2659890709190933</c:v>
                </c:pt>
                <c:pt idx="3">
                  <c:v>0.1469717430041641</c:v>
                </c:pt>
                <c:pt idx="4">
                  <c:v>0.14212347395098082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F-4648-B155-B6D1B13C5396}"/>
            </c:ext>
          </c:extLst>
        </c:ser>
        <c:ser>
          <c:idx val="1"/>
          <c:order val="1"/>
          <c:tx>
            <c:v>Nº Explotaciones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'NAR-EXPL'!$AC$4:$AG$4</c:f>
              <c:strCache>
                <c:ptCount val="5"/>
                <c:pt idx="0">
                  <c:v> &gt;0-5</c:v>
                </c:pt>
                <c:pt idx="1">
                  <c:v>&gt;5-10</c:v>
                </c:pt>
                <c:pt idx="2">
                  <c:v> 10-40</c:v>
                </c:pt>
                <c:pt idx="3">
                  <c:v>40-100</c:v>
                </c:pt>
                <c:pt idx="4">
                  <c:v>&gt;100</c:v>
                </c:pt>
              </c:strCache>
            </c:strRef>
          </c:cat>
          <c:val>
            <c:numRef>
              <c:f>'NAR-EXPL'!$AC$42:$AG$42</c:f>
              <c:numCache>
                <c:formatCode>0%</c:formatCode>
                <c:ptCount val="5"/>
                <c:pt idx="0">
                  <c:v>0.86881453667694786</c:v>
                </c:pt>
                <c:pt idx="1">
                  <c:v>6.8224487059139069E-2</c:v>
                </c:pt>
                <c:pt idx="2">
                  <c:v>5.1662867104733806E-2</c:v>
                </c:pt>
                <c:pt idx="3">
                  <c:v>8.7166420812659247E-3</c:v>
                </c:pt>
                <c:pt idx="4">
                  <c:v>2.5814670779133698E-3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5CF-4648-B155-B6D1B13C5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056006768"/>
        <c:axId val="-2056001872"/>
      </c:barChart>
      <c:catAx>
        <c:axId val="-205600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1872"/>
        <c:crosses val="autoZero"/>
        <c:auto val="1"/>
        <c:lblAlgn val="ctr"/>
        <c:lblOffset val="100"/>
        <c:noMultiLvlLbl val="0"/>
      </c:catAx>
      <c:valAx>
        <c:axId val="-2056001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205600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19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0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5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8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4" Type="http://schemas.openxmlformats.org/officeDocument/2006/relationships/chart" Target="../charts/chart6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Relationship Id="rId4" Type="http://schemas.openxmlformats.org/officeDocument/2006/relationships/chart" Target="../charts/chart6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7.xml"/><Relationship Id="rId3" Type="http://schemas.openxmlformats.org/officeDocument/2006/relationships/chart" Target="../charts/chart72.xml"/><Relationship Id="rId7" Type="http://schemas.openxmlformats.org/officeDocument/2006/relationships/chart" Target="../charts/chart76.xml"/><Relationship Id="rId2" Type="http://schemas.openxmlformats.org/officeDocument/2006/relationships/chart" Target="../charts/chart71.xml"/><Relationship Id="rId1" Type="http://schemas.openxmlformats.org/officeDocument/2006/relationships/chart" Target="../charts/chart70.xml"/><Relationship Id="rId6" Type="http://schemas.openxmlformats.org/officeDocument/2006/relationships/chart" Target="../charts/chart75.xml"/><Relationship Id="rId5" Type="http://schemas.openxmlformats.org/officeDocument/2006/relationships/chart" Target="../charts/chart74.xml"/><Relationship Id="rId4" Type="http://schemas.openxmlformats.org/officeDocument/2006/relationships/chart" Target="../charts/chart7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2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6.xml"/><Relationship Id="rId1" Type="http://schemas.openxmlformats.org/officeDocument/2006/relationships/chart" Target="../charts/chart95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8.xml"/><Relationship Id="rId1" Type="http://schemas.openxmlformats.org/officeDocument/2006/relationships/chart" Target="../charts/chart9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1.xml"/><Relationship Id="rId2" Type="http://schemas.openxmlformats.org/officeDocument/2006/relationships/chart" Target="../charts/chart100.xml"/><Relationship Id="rId1" Type="http://schemas.openxmlformats.org/officeDocument/2006/relationships/chart" Target="../charts/chart99.xml"/><Relationship Id="rId4" Type="http://schemas.openxmlformats.org/officeDocument/2006/relationships/chart" Target="../charts/chart10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4.xml"/><Relationship Id="rId1" Type="http://schemas.openxmlformats.org/officeDocument/2006/relationships/chart" Target="../charts/chart10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6.xml"/><Relationship Id="rId1" Type="http://schemas.openxmlformats.org/officeDocument/2006/relationships/chart" Target="../charts/chart105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8.xml"/><Relationship Id="rId1" Type="http://schemas.openxmlformats.org/officeDocument/2006/relationships/chart" Target="../charts/chart107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0.xml"/><Relationship Id="rId1" Type="http://schemas.openxmlformats.org/officeDocument/2006/relationships/chart" Target="../charts/chart109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2.xml"/><Relationship Id="rId1" Type="http://schemas.openxmlformats.org/officeDocument/2006/relationships/chart" Target="../charts/chart111.xml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4.xml"/><Relationship Id="rId1" Type="http://schemas.openxmlformats.org/officeDocument/2006/relationships/chart" Target="../charts/chart113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6.xml"/><Relationship Id="rId1" Type="http://schemas.openxmlformats.org/officeDocument/2006/relationships/chart" Target="../charts/chart115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7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9.xml"/><Relationship Id="rId1" Type="http://schemas.openxmlformats.org/officeDocument/2006/relationships/chart" Target="../charts/chart118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0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13" Type="http://schemas.openxmlformats.org/officeDocument/2006/relationships/chart" Target="../charts/chart44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12" Type="http://schemas.openxmlformats.org/officeDocument/2006/relationships/chart" Target="../charts/chart43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11" Type="http://schemas.openxmlformats.org/officeDocument/2006/relationships/chart" Target="../charts/chart42.xml"/><Relationship Id="rId5" Type="http://schemas.openxmlformats.org/officeDocument/2006/relationships/chart" Target="../charts/chart36.xml"/><Relationship Id="rId10" Type="http://schemas.openxmlformats.org/officeDocument/2006/relationships/chart" Target="../charts/chart41.xml"/><Relationship Id="rId4" Type="http://schemas.openxmlformats.org/officeDocument/2006/relationships/chart" Target="../charts/chart35.xml"/><Relationship Id="rId9" Type="http://schemas.openxmlformats.org/officeDocument/2006/relationships/chart" Target="../charts/chart40.xml"/><Relationship Id="rId14" Type="http://schemas.openxmlformats.org/officeDocument/2006/relationships/chart" Target="../charts/chart45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3.xml"/><Relationship Id="rId3" Type="http://schemas.openxmlformats.org/officeDocument/2006/relationships/chart" Target="../charts/chart48.xml"/><Relationship Id="rId7" Type="http://schemas.openxmlformats.org/officeDocument/2006/relationships/chart" Target="../charts/chart52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6" Type="http://schemas.openxmlformats.org/officeDocument/2006/relationships/chart" Target="../charts/chart51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Relationship Id="rId4" Type="http://schemas.openxmlformats.org/officeDocument/2006/relationships/chart" Target="../charts/chart5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0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4" Type="http://schemas.openxmlformats.org/officeDocument/2006/relationships/chart" Target="../charts/chart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1</xdr:row>
      <xdr:rowOff>166687</xdr:rowOff>
    </xdr:from>
    <xdr:to>
      <xdr:col>19</xdr:col>
      <xdr:colOff>171449</xdr:colOff>
      <xdr:row>16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27</xdr:col>
      <xdr:colOff>161925</xdr:colOff>
      <xdr:row>17</xdr:row>
      <xdr:rowOff>14288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733425</xdr:colOff>
      <xdr:row>48</xdr:row>
      <xdr:rowOff>161925</xdr:rowOff>
    </xdr:from>
    <xdr:to>
      <xdr:col>8</xdr:col>
      <xdr:colOff>885824</xdr:colOff>
      <xdr:row>65</xdr:row>
      <xdr:rowOff>185738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104775</xdr:colOff>
      <xdr:row>17</xdr:row>
      <xdr:rowOff>128587</xdr:rowOff>
    </xdr:from>
    <xdr:to>
      <xdr:col>22</xdr:col>
      <xdr:colOff>657225</xdr:colOff>
      <xdr:row>32</xdr:row>
      <xdr:rowOff>14287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733425</xdr:colOff>
      <xdr:row>2</xdr:row>
      <xdr:rowOff>4762</xdr:rowOff>
    </xdr:from>
    <xdr:to>
      <xdr:col>32</xdr:col>
      <xdr:colOff>733425</xdr:colOff>
      <xdr:row>15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30</xdr:row>
      <xdr:rowOff>80962</xdr:rowOff>
    </xdr:from>
    <xdr:to>
      <xdr:col>33</xdr:col>
      <xdr:colOff>0</xdr:colOff>
      <xdr:row>44</xdr:row>
      <xdr:rowOff>157162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85725</xdr:colOff>
      <xdr:row>15</xdr:row>
      <xdr:rowOff>61912</xdr:rowOff>
    </xdr:from>
    <xdr:to>
      <xdr:col>39</xdr:col>
      <xdr:colOff>85725</xdr:colOff>
      <xdr:row>29</xdr:row>
      <xdr:rowOff>128587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733425</xdr:colOff>
      <xdr:row>15</xdr:row>
      <xdr:rowOff>128587</xdr:rowOff>
    </xdr:from>
    <xdr:to>
      <xdr:col>32</xdr:col>
      <xdr:colOff>733425</xdr:colOff>
      <xdr:row>30</xdr:row>
      <xdr:rowOff>4762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676275</xdr:colOff>
      <xdr:row>30</xdr:row>
      <xdr:rowOff>52387</xdr:rowOff>
    </xdr:from>
    <xdr:to>
      <xdr:col>32</xdr:col>
      <xdr:colOff>676275</xdr:colOff>
      <xdr:row>44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533400</xdr:colOff>
      <xdr:row>2</xdr:row>
      <xdr:rowOff>4762</xdr:rowOff>
    </xdr:from>
    <xdr:to>
      <xdr:col>32</xdr:col>
      <xdr:colOff>533400</xdr:colOff>
      <xdr:row>14</xdr:row>
      <xdr:rowOff>185737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95250</xdr:colOff>
      <xdr:row>15</xdr:row>
      <xdr:rowOff>100012</xdr:rowOff>
    </xdr:from>
    <xdr:to>
      <xdr:col>39</xdr:col>
      <xdr:colOff>95250</xdr:colOff>
      <xdr:row>29</xdr:row>
      <xdr:rowOff>166687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552450</xdr:colOff>
      <xdr:row>15</xdr:row>
      <xdr:rowOff>109537</xdr:rowOff>
    </xdr:from>
    <xdr:to>
      <xdr:col>32</xdr:col>
      <xdr:colOff>552450</xdr:colOff>
      <xdr:row>29</xdr:row>
      <xdr:rowOff>176212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31</xdr:row>
      <xdr:rowOff>123825</xdr:rowOff>
    </xdr:from>
    <xdr:to>
      <xdr:col>33</xdr:col>
      <xdr:colOff>0</xdr:colOff>
      <xdr:row>46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9525</xdr:colOff>
      <xdr:row>2</xdr:row>
      <xdr:rowOff>38100</xdr:rowOff>
    </xdr:from>
    <xdr:to>
      <xdr:col>33</xdr:col>
      <xdr:colOff>9525</xdr:colOff>
      <xdr:row>15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19050</xdr:colOff>
      <xdr:row>15</xdr:row>
      <xdr:rowOff>142875</xdr:rowOff>
    </xdr:from>
    <xdr:to>
      <xdr:col>33</xdr:col>
      <xdr:colOff>19050</xdr:colOff>
      <xdr:row>30</xdr:row>
      <xdr:rowOff>28575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2</xdr:row>
      <xdr:rowOff>0</xdr:rowOff>
    </xdr:from>
    <xdr:to>
      <xdr:col>40</xdr:col>
      <xdr:colOff>0</xdr:colOff>
      <xdr:row>15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180975</xdr:colOff>
      <xdr:row>15</xdr:row>
      <xdr:rowOff>95250</xdr:rowOff>
    </xdr:from>
    <xdr:to>
      <xdr:col>39</xdr:col>
      <xdr:colOff>180975</xdr:colOff>
      <xdr:row>29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323850</xdr:colOff>
      <xdr:row>31</xdr:row>
      <xdr:rowOff>152400</xdr:rowOff>
    </xdr:from>
    <xdr:to>
      <xdr:col>39</xdr:col>
      <xdr:colOff>323850</xdr:colOff>
      <xdr:row>46</xdr:row>
      <xdr:rowOff>28575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39</xdr:col>
      <xdr:colOff>400050</xdr:colOff>
      <xdr:row>15</xdr:row>
      <xdr:rowOff>123825</xdr:rowOff>
    </xdr:from>
    <xdr:to>
      <xdr:col>45</xdr:col>
      <xdr:colOff>400050</xdr:colOff>
      <xdr:row>30</xdr:row>
      <xdr:rowOff>9525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0</xdr:colOff>
      <xdr:row>32</xdr:row>
      <xdr:rowOff>0</xdr:rowOff>
    </xdr:from>
    <xdr:to>
      <xdr:col>46</xdr:col>
      <xdr:colOff>0</xdr:colOff>
      <xdr:row>46</xdr:row>
      <xdr:rowOff>66675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733425</xdr:colOff>
      <xdr:row>30</xdr:row>
      <xdr:rowOff>28575</xdr:rowOff>
    </xdr:from>
    <xdr:to>
      <xdr:col>32</xdr:col>
      <xdr:colOff>733425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742950</xdr:colOff>
      <xdr:row>1</xdr:row>
      <xdr:rowOff>228600</xdr:rowOff>
    </xdr:from>
    <xdr:to>
      <xdr:col>32</xdr:col>
      <xdr:colOff>742950</xdr:colOff>
      <xdr:row>14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47625</xdr:colOff>
      <xdr:row>1</xdr:row>
      <xdr:rowOff>200025</xdr:rowOff>
    </xdr:from>
    <xdr:to>
      <xdr:col>39</xdr:col>
      <xdr:colOff>47625</xdr:colOff>
      <xdr:row>14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39</xdr:col>
      <xdr:colOff>190500</xdr:colOff>
      <xdr:row>1</xdr:row>
      <xdr:rowOff>228600</xdr:rowOff>
    </xdr:from>
    <xdr:to>
      <xdr:col>45</xdr:col>
      <xdr:colOff>190500</xdr:colOff>
      <xdr:row>14</xdr:row>
      <xdr:rowOff>180975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D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66675</xdr:colOff>
      <xdr:row>15</xdr:row>
      <xdr:rowOff>47625</xdr:rowOff>
    </xdr:from>
    <xdr:to>
      <xdr:col>39</xdr:col>
      <xdr:colOff>66675</xdr:colOff>
      <xdr:row>29</xdr:row>
      <xdr:rowOff>123825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371475</xdr:colOff>
      <xdr:row>15</xdr:row>
      <xdr:rowOff>38100</xdr:rowOff>
    </xdr:from>
    <xdr:to>
      <xdr:col>45</xdr:col>
      <xdr:colOff>371475</xdr:colOff>
      <xdr:row>29</xdr:row>
      <xdr:rowOff>114300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24</xdr:row>
      <xdr:rowOff>104775</xdr:rowOff>
    </xdr:from>
    <xdr:to>
      <xdr:col>13</xdr:col>
      <xdr:colOff>0</xdr:colOff>
      <xdr:row>39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24</xdr:row>
      <xdr:rowOff>123824</xdr:rowOff>
    </xdr:from>
    <xdr:to>
      <xdr:col>19</xdr:col>
      <xdr:colOff>66675</xdr:colOff>
      <xdr:row>39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</xdr:colOff>
      <xdr:row>44</xdr:row>
      <xdr:rowOff>71437</xdr:rowOff>
    </xdr:from>
    <xdr:to>
      <xdr:col>14</xdr:col>
      <xdr:colOff>76200</xdr:colOff>
      <xdr:row>62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419100</xdr:colOff>
      <xdr:row>63</xdr:row>
      <xdr:rowOff>19050</xdr:rowOff>
    </xdr:from>
    <xdr:to>
      <xdr:col>10</xdr:col>
      <xdr:colOff>514350</xdr:colOff>
      <xdr:row>77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70DDC71A-49CA-4371-9827-D1CFD27B36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24</xdr:row>
      <xdr:rowOff>71437</xdr:rowOff>
    </xdr:from>
    <xdr:to>
      <xdr:col>13</xdr:col>
      <xdr:colOff>314325</xdr:colOff>
      <xdr:row>42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523874</xdr:colOff>
      <xdr:row>24</xdr:row>
      <xdr:rowOff>76200</xdr:rowOff>
    </xdr:from>
    <xdr:to>
      <xdr:col>19</xdr:col>
      <xdr:colOff>704849</xdr:colOff>
      <xdr:row>43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752475</xdr:colOff>
      <xdr:row>54</xdr:row>
      <xdr:rowOff>4762</xdr:rowOff>
    </xdr:from>
    <xdr:to>
      <xdr:col>13</xdr:col>
      <xdr:colOff>314325</xdr:colOff>
      <xdr:row>68</xdr:row>
      <xdr:rowOff>61912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24</xdr:row>
      <xdr:rowOff>19050</xdr:rowOff>
    </xdr:from>
    <xdr:to>
      <xdr:col>13</xdr:col>
      <xdr:colOff>342900</xdr:colOff>
      <xdr:row>38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13</xdr:col>
      <xdr:colOff>409575</xdr:colOff>
      <xdr:row>39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24</xdr:row>
      <xdr:rowOff>0</xdr:rowOff>
    </xdr:from>
    <xdr:to>
      <xdr:col>13</xdr:col>
      <xdr:colOff>276225</xdr:colOff>
      <xdr:row>38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25</xdr:row>
      <xdr:rowOff>0</xdr:rowOff>
    </xdr:from>
    <xdr:to>
      <xdr:col>13</xdr:col>
      <xdr:colOff>495300</xdr:colOff>
      <xdr:row>39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3</xdr:row>
      <xdr:rowOff>228600</xdr:rowOff>
    </xdr:from>
    <xdr:to>
      <xdr:col>15</xdr:col>
      <xdr:colOff>752475</xdr:colOff>
      <xdr:row>18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0</xdr:colOff>
      <xdr:row>33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257175</xdr:colOff>
      <xdr:row>5</xdr:row>
      <xdr:rowOff>0</xdr:rowOff>
    </xdr:from>
    <xdr:to>
      <xdr:col>22</xdr:col>
      <xdr:colOff>257175</xdr:colOff>
      <xdr:row>18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257175</xdr:colOff>
      <xdr:row>19</xdr:row>
      <xdr:rowOff>0</xdr:rowOff>
    </xdr:from>
    <xdr:to>
      <xdr:col>22</xdr:col>
      <xdr:colOff>257175</xdr:colOff>
      <xdr:row>33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733425</xdr:colOff>
      <xdr:row>34</xdr:row>
      <xdr:rowOff>9525</xdr:rowOff>
    </xdr:from>
    <xdr:to>
      <xdr:col>15</xdr:col>
      <xdr:colOff>733425</xdr:colOff>
      <xdr:row>48</xdr:row>
      <xdr:rowOff>85725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914400</xdr:colOff>
      <xdr:row>50</xdr:row>
      <xdr:rowOff>4762</xdr:rowOff>
    </xdr:from>
    <xdr:to>
      <xdr:col>12</xdr:col>
      <xdr:colOff>114300</xdr:colOff>
      <xdr:row>64</xdr:row>
      <xdr:rowOff>80962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409574</xdr:colOff>
      <xdr:row>49</xdr:row>
      <xdr:rowOff>138112</xdr:rowOff>
    </xdr:from>
    <xdr:to>
      <xdr:col>19</xdr:col>
      <xdr:colOff>76199</xdr:colOff>
      <xdr:row>65</xdr:row>
      <xdr:rowOff>85725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361949</xdr:colOff>
      <xdr:row>57</xdr:row>
      <xdr:rowOff>71436</xdr:rowOff>
    </xdr:from>
    <xdr:to>
      <xdr:col>4</xdr:col>
      <xdr:colOff>771524</xdr:colOff>
      <xdr:row>73</xdr:row>
      <xdr:rowOff>133349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43</xdr:row>
      <xdr:rowOff>152400</xdr:rowOff>
    </xdr:from>
    <xdr:to>
      <xdr:col>14</xdr:col>
      <xdr:colOff>180975</xdr:colOff>
      <xdr:row>61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685800</xdr:colOff>
      <xdr:row>26</xdr:row>
      <xdr:rowOff>0</xdr:rowOff>
    </xdr:from>
    <xdr:to>
      <xdr:col>13</xdr:col>
      <xdr:colOff>685800</xdr:colOff>
      <xdr:row>40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44</xdr:row>
      <xdr:rowOff>0</xdr:rowOff>
    </xdr:from>
    <xdr:to>
      <xdr:col>13</xdr:col>
      <xdr:colOff>419100</xdr:colOff>
      <xdr:row>58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13</xdr:col>
      <xdr:colOff>419100</xdr:colOff>
      <xdr:row>39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252411</xdr:colOff>
      <xdr:row>2</xdr:row>
      <xdr:rowOff>185737</xdr:rowOff>
    </xdr:from>
    <xdr:to>
      <xdr:col>39</xdr:col>
      <xdr:colOff>504824</xdr:colOff>
      <xdr:row>19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252411</xdr:colOff>
      <xdr:row>20</xdr:row>
      <xdr:rowOff>138112</xdr:rowOff>
    </xdr:from>
    <xdr:to>
      <xdr:col>39</xdr:col>
      <xdr:colOff>733424</xdr:colOff>
      <xdr:row>37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466725</xdr:colOff>
      <xdr:row>45</xdr:row>
      <xdr:rowOff>171450</xdr:rowOff>
    </xdr:from>
    <xdr:to>
      <xdr:col>44</xdr:col>
      <xdr:colOff>466725</xdr:colOff>
      <xdr:row>60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409575</xdr:colOff>
      <xdr:row>60</xdr:row>
      <xdr:rowOff>114300</xdr:rowOff>
    </xdr:from>
    <xdr:to>
      <xdr:col>44</xdr:col>
      <xdr:colOff>409575</xdr:colOff>
      <xdr:row>75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B77EC9B3-1BF4-47EF-A2FF-5EC7BF51D7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509586</xdr:colOff>
      <xdr:row>3</xdr:row>
      <xdr:rowOff>4762</xdr:rowOff>
    </xdr:from>
    <xdr:to>
      <xdr:col>40</xdr:col>
      <xdr:colOff>171449</xdr:colOff>
      <xdr:row>22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500062</xdr:colOff>
      <xdr:row>23</xdr:row>
      <xdr:rowOff>138112</xdr:rowOff>
    </xdr:from>
    <xdr:to>
      <xdr:col>40</xdr:col>
      <xdr:colOff>171450</xdr:colOff>
      <xdr:row>43</xdr:row>
      <xdr:rowOff>14287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352424</xdr:colOff>
      <xdr:row>2</xdr:row>
      <xdr:rowOff>104775</xdr:rowOff>
    </xdr:from>
    <xdr:to>
      <xdr:col>40</xdr:col>
      <xdr:colOff>190499</xdr:colOff>
      <xdr:row>21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342900</xdr:colOff>
      <xdr:row>24</xdr:row>
      <xdr:rowOff>171450</xdr:rowOff>
    </xdr:from>
    <xdr:to>
      <xdr:col>40</xdr:col>
      <xdr:colOff>133350</xdr:colOff>
      <xdr:row>42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552449</xdr:colOff>
      <xdr:row>2</xdr:row>
      <xdr:rowOff>142875</xdr:rowOff>
    </xdr:from>
    <xdr:to>
      <xdr:col>40</xdr:col>
      <xdr:colOff>66674</xdr:colOff>
      <xdr:row>20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571499</xdr:colOff>
      <xdr:row>23</xdr:row>
      <xdr:rowOff>180975</xdr:rowOff>
    </xdr:from>
    <xdr:to>
      <xdr:col>40</xdr:col>
      <xdr:colOff>85724</xdr:colOff>
      <xdr:row>41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428624</xdr:colOff>
      <xdr:row>2</xdr:row>
      <xdr:rowOff>47625</xdr:rowOff>
    </xdr:from>
    <xdr:to>
      <xdr:col>39</xdr:col>
      <xdr:colOff>723899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428624</xdr:colOff>
      <xdr:row>24</xdr:row>
      <xdr:rowOff>47625</xdr:rowOff>
    </xdr:from>
    <xdr:to>
      <xdr:col>39</xdr:col>
      <xdr:colOff>609599</xdr:colOff>
      <xdr:row>41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152399</xdr:colOff>
      <xdr:row>2</xdr:row>
      <xdr:rowOff>85725</xdr:rowOff>
    </xdr:from>
    <xdr:to>
      <xdr:col>39</xdr:col>
      <xdr:colOff>504824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180975</xdr:colOff>
      <xdr:row>24</xdr:row>
      <xdr:rowOff>114300</xdr:rowOff>
    </xdr:from>
    <xdr:to>
      <xdr:col>39</xdr:col>
      <xdr:colOff>390525</xdr:colOff>
      <xdr:row>41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738186</xdr:colOff>
      <xdr:row>2</xdr:row>
      <xdr:rowOff>185737</xdr:rowOff>
    </xdr:from>
    <xdr:to>
      <xdr:col>40</xdr:col>
      <xdr:colOff>742949</xdr:colOff>
      <xdr:row>20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9525</xdr:colOff>
      <xdr:row>23</xdr:row>
      <xdr:rowOff>185737</xdr:rowOff>
    </xdr:from>
    <xdr:to>
      <xdr:col>42</xdr:col>
      <xdr:colOff>190500</xdr:colOff>
      <xdr:row>40</xdr:row>
      <xdr:rowOff>9525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</xdr:colOff>
      <xdr:row>3</xdr:row>
      <xdr:rowOff>4762</xdr:rowOff>
    </xdr:from>
    <xdr:to>
      <xdr:col>40</xdr:col>
      <xdr:colOff>190500</xdr:colOff>
      <xdr:row>20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657225</xdr:colOff>
      <xdr:row>23</xdr:row>
      <xdr:rowOff>114300</xdr:rowOff>
    </xdr:from>
    <xdr:to>
      <xdr:col>40</xdr:col>
      <xdr:colOff>276225</xdr:colOff>
      <xdr:row>39</xdr:row>
      <xdr:rowOff>85725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1D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5</xdr:row>
      <xdr:rowOff>95250</xdr:rowOff>
    </xdr:from>
    <xdr:to>
      <xdr:col>15</xdr:col>
      <xdr:colOff>752475</xdr:colOff>
      <xdr:row>18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714375</xdr:colOff>
      <xdr:row>19</xdr:row>
      <xdr:rowOff>9525</xdr:rowOff>
    </xdr:from>
    <xdr:to>
      <xdr:col>15</xdr:col>
      <xdr:colOff>714375</xdr:colOff>
      <xdr:row>33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314325</xdr:colOff>
      <xdr:row>5</xdr:row>
      <xdr:rowOff>104775</xdr:rowOff>
    </xdr:from>
    <xdr:to>
      <xdr:col>22</xdr:col>
      <xdr:colOff>314325</xdr:colOff>
      <xdr:row>18</xdr:row>
      <xdr:rowOff>161925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304800</xdr:colOff>
      <xdr:row>19</xdr:row>
      <xdr:rowOff>38100</xdr:rowOff>
    </xdr:from>
    <xdr:to>
      <xdr:col>22</xdr:col>
      <xdr:colOff>304800</xdr:colOff>
      <xdr:row>33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9525</xdr:colOff>
      <xdr:row>34</xdr:row>
      <xdr:rowOff>47625</xdr:rowOff>
    </xdr:from>
    <xdr:to>
      <xdr:col>16</xdr:col>
      <xdr:colOff>276225</xdr:colOff>
      <xdr:row>50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133350</xdr:colOff>
      <xdr:row>48</xdr:row>
      <xdr:rowOff>166687</xdr:rowOff>
    </xdr:from>
    <xdr:to>
      <xdr:col>10</xdr:col>
      <xdr:colOff>257175</xdr:colOff>
      <xdr:row>63</xdr:row>
      <xdr:rowOff>52387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271462</xdr:colOff>
      <xdr:row>72</xdr:row>
      <xdr:rowOff>100012</xdr:rowOff>
    </xdr:from>
    <xdr:to>
      <xdr:col>10</xdr:col>
      <xdr:colOff>395287</xdr:colOff>
      <xdr:row>86</xdr:row>
      <xdr:rowOff>176212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395287</xdr:colOff>
      <xdr:row>104</xdr:row>
      <xdr:rowOff>90487</xdr:rowOff>
    </xdr:from>
    <xdr:to>
      <xdr:col>10</xdr:col>
      <xdr:colOff>519112</xdr:colOff>
      <xdr:row>118</xdr:row>
      <xdr:rowOff>166687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252412</xdr:colOff>
      <xdr:row>127</xdr:row>
      <xdr:rowOff>100012</xdr:rowOff>
    </xdr:from>
    <xdr:to>
      <xdr:col>10</xdr:col>
      <xdr:colOff>376237</xdr:colOff>
      <xdr:row>141</xdr:row>
      <xdr:rowOff>176212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209549</xdr:colOff>
      <xdr:row>2</xdr:row>
      <xdr:rowOff>257175</xdr:rowOff>
    </xdr:from>
    <xdr:to>
      <xdr:col>11</xdr:col>
      <xdr:colOff>561974</xdr:colOff>
      <xdr:row>18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104775</xdr:colOff>
      <xdr:row>4</xdr:row>
      <xdr:rowOff>114300</xdr:rowOff>
    </xdr:from>
    <xdr:to>
      <xdr:col>13</xdr:col>
      <xdr:colOff>28575</xdr:colOff>
      <xdr:row>10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8686800" y="571500"/>
          <a:ext cx="22098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107.184 ha.</a:t>
          </a:r>
        </a:p>
        <a:p>
          <a:r>
            <a:rPr lang="es-ES" sz="1100" baseline="0"/>
            <a:t>SUPERFICIE SIN INFO VARIEDAD: 44ha (0,04%). </a:t>
          </a:r>
        </a:p>
        <a:p>
          <a:r>
            <a:rPr lang="es-ES" sz="1100" baseline="0"/>
            <a:t>SUPERFICIE INFO DE VARIEDAD SIN CLASIFICAR: 3.646 ha (3,4%). 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104774</xdr:colOff>
      <xdr:row>2</xdr:row>
      <xdr:rowOff>57150</xdr:rowOff>
    </xdr:from>
    <xdr:to>
      <xdr:col>14</xdr:col>
      <xdr:colOff>752475</xdr:colOff>
      <xdr:row>25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6</xdr:row>
      <xdr:rowOff>19050</xdr:rowOff>
    </xdr:from>
    <xdr:to>
      <xdr:col>12</xdr:col>
      <xdr:colOff>647700</xdr:colOff>
      <xdr:row>9</xdr:row>
      <xdr:rowOff>104775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8829675" y="1047750"/>
          <a:ext cx="2209800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78.990 ha.</a:t>
          </a:r>
        </a:p>
        <a:p>
          <a:r>
            <a:rPr lang="es-ES" sz="1100" baseline="0"/>
            <a:t>SUPERFICIE INFO DE VARIEDAD SIN CLASIFICAR: 7.882 ha (10%). </a:t>
          </a:r>
        </a:p>
      </xdr:txBody>
    </xdr:sp>
    <xdr:clientData/>
  </xdr:twoCellAnchor>
  <xdr:twoCellAnchor>
    <xdr:from>
      <xdr:col>5</xdr:col>
      <xdr:colOff>371475</xdr:colOff>
      <xdr:row>26</xdr:row>
      <xdr:rowOff>123825</xdr:rowOff>
    </xdr:from>
    <xdr:to>
      <xdr:col>11</xdr:col>
      <xdr:colOff>371475</xdr:colOff>
      <xdr:row>41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1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114300</xdr:rowOff>
    </xdr:from>
    <xdr:to>
      <xdr:col>10</xdr:col>
      <xdr:colOff>200025</xdr:colOff>
      <xdr:row>18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6</xdr:row>
      <xdr:rowOff>85725</xdr:rowOff>
    </xdr:from>
    <xdr:to>
      <xdr:col>11</xdr:col>
      <xdr:colOff>114300</xdr:colOff>
      <xdr:row>11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7572375" y="1114425"/>
          <a:ext cx="2209800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/>
            <a:t>SUPERFICIE</a:t>
          </a:r>
          <a:r>
            <a:rPr lang="es-ES" sz="1100" baseline="0"/>
            <a:t> TOTAL: 27.153 ha.</a:t>
          </a:r>
        </a:p>
        <a:p>
          <a:r>
            <a:rPr lang="es-ES" sz="1100" baseline="0"/>
            <a:t>SUPERFICIE SIN INFO VARIEDAD: 3ha (0,01%). </a:t>
          </a:r>
        </a:p>
        <a:p>
          <a:r>
            <a:rPr lang="es-ES" sz="1100" baseline="0"/>
            <a:t>SUPERFICIE INFO DE VARIEDAD SIN CLASIFICAR: 1.551 ha (5,7%).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190500</xdr:rowOff>
    </xdr:from>
    <xdr:to>
      <xdr:col>16</xdr:col>
      <xdr:colOff>0</xdr:colOff>
      <xdr:row>18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752475</xdr:colOff>
      <xdr:row>18</xdr:row>
      <xdr:rowOff>142875</xdr:rowOff>
    </xdr:from>
    <xdr:to>
      <xdr:col>15</xdr:col>
      <xdr:colOff>752475</xdr:colOff>
      <xdr:row>33</xdr:row>
      <xdr:rowOff>28575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200025</xdr:colOff>
      <xdr:row>3</xdr:row>
      <xdr:rowOff>228600</xdr:rowOff>
    </xdr:from>
    <xdr:to>
      <xdr:col>22</xdr:col>
      <xdr:colOff>200025</xdr:colOff>
      <xdr:row>18</xdr:row>
      <xdr:rowOff>47625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180975</xdr:colOff>
      <xdr:row>18</xdr:row>
      <xdr:rowOff>152400</xdr:rowOff>
    </xdr:from>
    <xdr:to>
      <xdr:col>22</xdr:col>
      <xdr:colOff>180975</xdr:colOff>
      <xdr:row>33</xdr:row>
      <xdr:rowOff>38100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714375</xdr:colOff>
      <xdr:row>33</xdr:row>
      <xdr:rowOff>161925</xdr:rowOff>
    </xdr:from>
    <xdr:to>
      <xdr:col>15</xdr:col>
      <xdr:colOff>714375</xdr:colOff>
      <xdr:row>48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5</xdr:row>
      <xdr:rowOff>9525</xdr:rowOff>
    </xdr:from>
    <xdr:to>
      <xdr:col>15</xdr:col>
      <xdr:colOff>304800</xdr:colOff>
      <xdr:row>18</xdr:row>
      <xdr:rowOff>95250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304800</xdr:colOff>
      <xdr:row>19</xdr:row>
      <xdr:rowOff>57150</xdr:rowOff>
    </xdr:from>
    <xdr:to>
      <xdr:col>15</xdr:col>
      <xdr:colOff>304800</xdr:colOff>
      <xdr:row>33</xdr:row>
      <xdr:rowOff>133350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485775</xdr:colOff>
      <xdr:row>5</xdr:row>
      <xdr:rowOff>9525</xdr:rowOff>
    </xdr:from>
    <xdr:to>
      <xdr:col>21</xdr:col>
      <xdr:colOff>485775</xdr:colOff>
      <xdr:row>18</xdr:row>
      <xdr:rowOff>95250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514350</xdr:colOff>
      <xdr:row>19</xdr:row>
      <xdr:rowOff>38100</xdr:rowOff>
    </xdr:from>
    <xdr:to>
      <xdr:col>21</xdr:col>
      <xdr:colOff>514350</xdr:colOff>
      <xdr:row>33</xdr:row>
      <xdr:rowOff>114300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314325</xdr:colOff>
      <xdr:row>34</xdr:row>
      <xdr:rowOff>47625</xdr:rowOff>
    </xdr:from>
    <xdr:to>
      <xdr:col>15</xdr:col>
      <xdr:colOff>314325</xdr:colOff>
      <xdr:row>48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31</xdr:row>
      <xdr:rowOff>133350</xdr:rowOff>
    </xdr:from>
    <xdr:to>
      <xdr:col>33</xdr:col>
      <xdr:colOff>0</xdr:colOff>
      <xdr:row>46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33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752475</xdr:colOff>
      <xdr:row>15</xdr:row>
      <xdr:rowOff>171450</xdr:rowOff>
    </xdr:from>
    <xdr:to>
      <xdr:col>32</xdr:col>
      <xdr:colOff>752475</xdr:colOff>
      <xdr:row>30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57150</xdr:colOff>
      <xdr:row>47</xdr:row>
      <xdr:rowOff>166687</xdr:rowOff>
    </xdr:from>
    <xdr:to>
      <xdr:col>36</xdr:col>
      <xdr:colOff>57150</xdr:colOff>
      <xdr:row>62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390525</xdr:colOff>
      <xdr:row>47</xdr:row>
      <xdr:rowOff>85725</xdr:rowOff>
    </xdr:from>
    <xdr:to>
      <xdr:col>29</xdr:col>
      <xdr:colOff>685800</xdr:colOff>
      <xdr:row>61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ADFEA04A-D168-4674-A653-79728954C9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209550</xdr:colOff>
      <xdr:row>48</xdr:row>
      <xdr:rowOff>0</xdr:rowOff>
    </xdr:from>
    <xdr:to>
      <xdr:col>42</xdr:col>
      <xdr:colOff>209550</xdr:colOff>
      <xdr:row>62</xdr:row>
      <xdr:rowOff>66675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304800</xdr:colOff>
      <xdr:row>63</xdr:row>
      <xdr:rowOff>9525</xdr:rowOff>
    </xdr:from>
    <xdr:to>
      <xdr:col>29</xdr:col>
      <xdr:colOff>600075</xdr:colOff>
      <xdr:row>77</xdr:row>
      <xdr:rowOff>85725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371475</xdr:colOff>
      <xdr:row>15</xdr:row>
      <xdr:rowOff>133350</xdr:rowOff>
    </xdr:from>
    <xdr:to>
      <xdr:col>45</xdr:col>
      <xdr:colOff>371475</xdr:colOff>
      <xdr:row>30</xdr:row>
      <xdr:rowOff>19050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33</xdr:col>
      <xdr:colOff>114300</xdr:colOff>
      <xdr:row>2</xdr:row>
      <xdr:rowOff>0</xdr:rowOff>
    </xdr:from>
    <xdr:to>
      <xdr:col>39</xdr:col>
      <xdr:colOff>114300</xdr:colOff>
      <xdr:row>15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200025</xdr:colOff>
      <xdr:row>15</xdr:row>
      <xdr:rowOff>57150</xdr:rowOff>
    </xdr:from>
    <xdr:to>
      <xdr:col>39</xdr:col>
      <xdr:colOff>200025</xdr:colOff>
      <xdr:row>29</xdr:row>
      <xdr:rowOff>133350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42</xdr:col>
      <xdr:colOff>504825</xdr:colOff>
      <xdr:row>48</xdr:row>
      <xdr:rowOff>0</xdr:rowOff>
    </xdr:from>
    <xdr:to>
      <xdr:col>48</xdr:col>
      <xdr:colOff>504825</xdr:colOff>
      <xdr:row>62</xdr:row>
      <xdr:rowOff>66675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49</xdr:col>
      <xdr:colOff>0</xdr:colOff>
      <xdr:row>48</xdr:row>
      <xdr:rowOff>0</xdr:rowOff>
    </xdr:from>
    <xdr:to>
      <xdr:col>55</xdr:col>
      <xdr:colOff>0</xdr:colOff>
      <xdr:row>62</xdr:row>
      <xdr:rowOff>66675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0</xdr:colOff>
      <xdr:row>16</xdr:row>
      <xdr:rowOff>0</xdr:rowOff>
    </xdr:from>
    <xdr:to>
      <xdr:col>52</xdr:col>
      <xdr:colOff>0</xdr:colOff>
      <xdr:row>30</xdr:row>
      <xdr:rowOff>76200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52</xdr:col>
      <xdr:colOff>200025</xdr:colOff>
      <xdr:row>14</xdr:row>
      <xdr:rowOff>142875</xdr:rowOff>
    </xdr:from>
    <xdr:to>
      <xdr:col>58</xdr:col>
      <xdr:colOff>200025</xdr:colOff>
      <xdr:row>29</xdr:row>
      <xdr:rowOff>28575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752475</xdr:colOff>
      <xdr:row>30</xdr:row>
      <xdr:rowOff>152400</xdr:rowOff>
    </xdr:from>
    <xdr:to>
      <xdr:col>32</xdr:col>
      <xdr:colOff>752475</xdr:colOff>
      <xdr:row>45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0</xdr:colOff>
      <xdr:row>2</xdr:row>
      <xdr:rowOff>0</xdr:rowOff>
    </xdr:from>
    <xdr:to>
      <xdr:col>33</xdr:col>
      <xdr:colOff>0</xdr:colOff>
      <xdr:row>15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15</xdr:row>
      <xdr:rowOff>95250</xdr:rowOff>
    </xdr:from>
    <xdr:to>
      <xdr:col>33</xdr:col>
      <xdr:colOff>0</xdr:colOff>
      <xdr:row>29</xdr:row>
      <xdr:rowOff>171450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228600</xdr:colOff>
      <xdr:row>15</xdr:row>
      <xdr:rowOff>104775</xdr:rowOff>
    </xdr:from>
    <xdr:to>
      <xdr:col>39</xdr:col>
      <xdr:colOff>228600</xdr:colOff>
      <xdr:row>29</xdr:row>
      <xdr:rowOff>180975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95250</xdr:colOff>
      <xdr:row>2</xdr:row>
      <xdr:rowOff>9525</xdr:rowOff>
    </xdr:from>
    <xdr:to>
      <xdr:col>39</xdr:col>
      <xdr:colOff>95250</xdr:colOff>
      <xdr:row>15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39</xdr:col>
      <xdr:colOff>457200</xdr:colOff>
      <xdr:row>15</xdr:row>
      <xdr:rowOff>95250</xdr:rowOff>
    </xdr:from>
    <xdr:to>
      <xdr:col>45</xdr:col>
      <xdr:colOff>457200</xdr:colOff>
      <xdr:row>29</xdr:row>
      <xdr:rowOff>171450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52</xdr:col>
      <xdr:colOff>295275</xdr:colOff>
      <xdr:row>15</xdr:row>
      <xdr:rowOff>0</xdr:rowOff>
    </xdr:from>
    <xdr:to>
      <xdr:col>58</xdr:col>
      <xdr:colOff>295275</xdr:colOff>
      <xdr:row>29</xdr:row>
      <xdr:rowOff>76200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619125</xdr:colOff>
      <xdr:row>15</xdr:row>
      <xdr:rowOff>28575</xdr:rowOff>
    </xdr:from>
    <xdr:to>
      <xdr:col>51</xdr:col>
      <xdr:colOff>619125</xdr:colOff>
      <xdr:row>29</xdr:row>
      <xdr:rowOff>104775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752475</xdr:colOff>
      <xdr:row>1</xdr:row>
      <xdr:rowOff>233362</xdr:rowOff>
    </xdr:from>
    <xdr:to>
      <xdr:col>32</xdr:col>
      <xdr:colOff>752475</xdr:colOff>
      <xdr:row>15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9525</xdr:colOff>
      <xdr:row>31</xdr:row>
      <xdr:rowOff>4762</xdr:rowOff>
    </xdr:from>
    <xdr:to>
      <xdr:col>33</xdr:col>
      <xdr:colOff>9525</xdr:colOff>
      <xdr:row>45</xdr:row>
      <xdr:rowOff>80962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0</xdr:colOff>
      <xdr:row>15</xdr:row>
      <xdr:rowOff>176212</xdr:rowOff>
    </xdr:from>
    <xdr:to>
      <xdr:col>33</xdr:col>
      <xdr:colOff>0</xdr:colOff>
      <xdr:row>30</xdr:row>
      <xdr:rowOff>52387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228600</xdr:colOff>
      <xdr:row>15</xdr:row>
      <xdr:rowOff>138112</xdr:rowOff>
    </xdr:from>
    <xdr:to>
      <xdr:col>39</xdr:col>
      <xdr:colOff>228600</xdr:colOff>
      <xdr:row>30</xdr:row>
      <xdr:rowOff>14287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9525</xdr:colOff>
      <xdr:row>2</xdr:row>
      <xdr:rowOff>14287</xdr:rowOff>
    </xdr:from>
    <xdr:to>
      <xdr:col>33</xdr:col>
      <xdr:colOff>9525</xdr:colOff>
      <xdr:row>15</xdr:row>
      <xdr:rowOff>23812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57150</xdr:colOff>
      <xdr:row>31</xdr:row>
      <xdr:rowOff>52387</xdr:rowOff>
    </xdr:from>
    <xdr:to>
      <xdr:col>33</xdr:col>
      <xdr:colOff>57150</xdr:colOff>
      <xdr:row>45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9525</xdr:colOff>
      <xdr:row>16</xdr:row>
      <xdr:rowOff>14287</xdr:rowOff>
    </xdr:from>
    <xdr:to>
      <xdr:col>33</xdr:col>
      <xdr:colOff>9525</xdr:colOff>
      <xdr:row>30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200025</xdr:colOff>
      <xdr:row>16</xdr:row>
      <xdr:rowOff>4762</xdr:rowOff>
    </xdr:from>
    <xdr:to>
      <xdr:col>39</xdr:col>
      <xdr:colOff>200025</xdr:colOff>
      <xdr:row>30</xdr:row>
      <xdr:rowOff>80962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apa.gob.es/es/estadistica/temas/estadisticas-agrarias/citricosprovisional2020_tcm30-56053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NU Res arb dise"/>
      <sheetName val="ANU Res ren pro"/>
      <sheetName val="ANU Total citric"/>
      <sheetName val="ANU Nar total"/>
      <sheetName val="ANU Var Naranj 1"/>
      <sheetName val="ANU Var Naranj 2"/>
      <sheetName val="ANU Var Naranj 3"/>
      <sheetName val="ANU Nar amargo"/>
      <sheetName val="ANU Manda total"/>
      <sheetName val="ANU Var Mandarino"/>
      <sheetName val="ANU Limon total"/>
      <sheetName val="ANU Var Limonero"/>
      <sheetName val="ANU Pomelo"/>
      <sheetName val="ANU Limero y o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EXCEL%20An&#225;lisis%20de%20la%20Realidad%20productiva%202020_C&#237;tricos.xlsx" TargetMode="External"/><Relationship Id="rId18" Type="http://schemas.openxmlformats.org/officeDocument/2006/relationships/hyperlink" Target="EXCEL%20An&#225;lisis%20de%20la%20Realidad%20productiva%202020_C&#237;tricos.xlsx" TargetMode="External"/><Relationship Id="rId26" Type="http://schemas.openxmlformats.org/officeDocument/2006/relationships/hyperlink" Target="EXCEL%20An&#225;lisis%20de%20la%20Realidad%20productiva%202020_C&#237;tricos.xlsx" TargetMode="External"/><Relationship Id="rId3" Type="http://schemas.openxmlformats.org/officeDocument/2006/relationships/hyperlink" Target="EXCEL%20An&#225;lisis%20de%20la%20Realidad%20productiva%202020_C&#237;tricos.xlsx" TargetMode="External"/><Relationship Id="rId21" Type="http://schemas.openxmlformats.org/officeDocument/2006/relationships/hyperlink" Target="EXCEL%20An&#225;lisis%20de%20la%20Realidad%20productiva%202020_C&#237;tricos.xlsx" TargetMode="External"/><Relationship Id="rId7" Type="http://schemas.openxmlformats.org/officeDocument/2006/relationships/hyperlink" Target="EXCEL%20An&#225;lisis%20de%20la%20Realidad%20productiva%202020_C&#237;tricos.xlsx" TargetMode="External"/><Relationship Id="rId12" Type="http://schemas.openxmlformats.org/officeDocument/2006/relationships/hyperlink" Target="EXCEL%20An&#225;lisis%20de%20la%20Realidad%20productiva%202020_C&#237;tricos.xlsx" TargetMode="External"/><Relationship Id="rId17" Type="http://schemas.openxmlformats.org/officeDocument/2006/relationships/hyperlink" Target="EXCEL%20An&#225;lisis%20de%20la%20Realidad%20productiva%202020_C&#237;tricos.xlsx" TargetMode="External"/><Relationship Id="rId25" Type="http://schemas.openxmlformats.org/officeDocument/2006/relationships/hyperlink" Target="EXCEL%20An&#225;lisis%20de%20la%20Realidad%20productiva%202020_C&#237;tricos.xls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EXCEL%20An&#225;lisis%20de%20la%20Realidad%20productiva%202020_C&#237;tricos.xlsx" TargetMode="External"/><Relationship Id="rId16" Type="http://schemas.openxmlformats.org/officeDocument/2006/relationships/hyperlink" Target="EXCEL%20An&#225;lisis%20de%20la%20Realidad%20productiva%202020_C&#237;tricos.xlsx" TargetMode="External"/><Relationship Id="rId20" Type="http://schemas.openxmlformats.org/officeDocument/2006/relationships/hyperlink" Target="EXCEL%20An&#225;lisis%20de%20la%20Realidad%20productiva%202020_C&#237;tricos.xlsx" TargetMode="External"/><Relationship Id="rId29" Type="http://schemas.openxmlformats.org/officeDocument/2006/relationships/hyperlink" Target="EXCEL%20An&#225;lisis%20de%20la%20Realidad%20productiva%202020_C&#237;tricos.xlsx" TargetMode="External"/><Relationship Id="rId1" Type="http://schemas.openxmlformats.org/officeDocument/2006/relationships/hyperlink" Target="EXCEL%20An&#225;lisis%20de%20la%20Realidad%20productiva%202020_C&#237;tricos.xlsx" TargetMode="External"/><Relationship Id="rId6" Type="http://schemas.openxmlformats.org/officeDocument/2006/relationships/hyperlink" Target="EXCEL%20An&#225;lisis%20de%20la%20Realidad%20productiva%202020_C&#237;tricos.xlsx" TargetMode="External"/><Relationship Id="rId11" Type="http://schemas.openxmlformats.org/officeDocument/2006/relationships/hyperlink" Target="EXCEL%20An&#225;lisis%20de%20la%20Realidad%20productiva%202020_C&#237;tricos.xlsx" TargetMode="External"/><Relationship Id="rId24" Type="http://schemas.openxmlformats.org/officeDocument/2006/relationships/hyperlink" Target="EXCEL%20An&#225;lisis%20de%20la%20Realidad%20productiva%202020_C&#237;tricos.xlsx" TargetMode="External"/><Relationship Id="rId32" Type="http://schemas.openxmlformats.org/officeDocument/2006/relationships/hyperlink" Target="EXCEL%20An&#225;lisis%20de%20la%20Realidad%20productiva%202020_C&#237;tricos.xlsx" TargetMode="External"/><Relationship Id="rId5" Type="http://schemas.openxmlformats.org/officeDocument/2006/relationships/hyperlink" Target="EXCEL%20An&#225;lisis%20de%20la%20Realidad%20productiva%202020_C&#237;tricos.xlsx" TargetMode="External"/><Relationship Id="rId15" Type="http://schemas.openxmlformats.org/officeDocument/2006/relationships/hyperlink" Target="EXCEL%20An&#225;lisis%20de%20la%20Realidad%20productiva%202020_C&#237;tricos.xlsx" TargetMode="External"/><Relationship Id="rId23" Type="http://schemas.openxmlformats.org/officeDocument/2006/relationships/hyperlink" Target="EXCEL%20An&#225;lisis%20de%20la%20Realidad%20productiva%202020_C&#237;tricos.xlsx" TargetMode="External"/><Relationship Id="rId28" Type="http://schemas.openxmlformats.org/officeDocument/2006/relationships/hyperlink" Target="EXCEL%20An&#225;lisis%20de%20la%20Realidad%20productiva%202020_C&#237;tricos.xlsx" TargetMode="External"/><Relationship Id="rId10" Type="http://schemas.openxmlformats.org/officeDocument/2006/relationships/hyperlink" Target="EXCEL%20An&#225;lisis%20de%20la%20Realidad%20productiva%202020_C&#237;tricos.xlsx" TargetMode="External"/><Relationship Id="rId19" Type="http://schemas.openxmlformats.org/officeDocument/2006/relationships/hyperlink" Target="EXCEL%20An&#225;lisis%20de%20la%20Realidad%20productiva%202020_C&#237;tricos.xlsx" TargetMode="External"/><Relationship Id="rId31" Type="http://schemas.openxmlformats.org/officeDocument/2006/relationships/hyperlink" Target="EXCEL%20An&#225;lisis%20de%20la%20Realidad%20productiva%202020_C&#237;tricos.xlsx" TargetMode="External"/><Relationship Id="rId4" Type="http://schemas.openxmlformats.org/officeDocument/2006/relationships/hyperlink" Target="EXCEL%20An&#225;lisis%20de%20la%20Realidad%20productiva%202020_C&#237;tricos.xlsx" TargetMode="External"/><Relationship Id="rId9" Type="http://schemas.openxmlformats.org/officeDocument/2006/relationships/hyperlink" Target="EXCEL%20An&#225;lisis%20de%20la%20Realidad%20productiva%202020_C&#237;tricos.xlsx" TargetMode="External"/><Relationship Id="rId14" Type="http://schemas.openxmlformats.org/officeDocument/2006/relationships/hyperlink" Target="EXCEL%20An&#225;lisis%20de%20la%20Realidad%20productiva%202020_C&#237;tricos.xlsx" TargetMode="External"/><Relationship Id="rId22" Type="http://schemas.openxmlformats.org/officeDocument/2006/relationships/hyperlink" Target="EXCEL%20An&#225;lisis%20de%20la%20Realidad%20productiva%202020_C&#237;tricos.xlsx" TargetMode="External"/><Relationship Id="rId27" Type="http://schemas.openxmlformats.org/officeDocument/2006/relationships/hyperlink" Target="EXCEL%20An&#225;lisis%20de%20la%20Realidad%20productiva%202020_C&#237;tricos.xlsx" TargetMode="External"/><Relationship Id="rId30" Type="http://schemas.openxmlformats.org/officeDocument/2006/relationships/hyperlink" Target="EXCEL%20An&#225;lisis%20de%20la%20Realidad%20productiva%202020_C&#237;tricos.xlsx" TargetMode="External"/><Relationship Id="rId8" Type="http://schemas.openxmlformats.org/officeDocument/2006/relationships/hyperlink" Target="EXCEL%20An&#225;lisis%20de%20la%20Realidad%20productiva%202020_C&#237;tricos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EXCEL%20An&#225;lisis%20de%20la%20Realidad%20productiva%202020_C&#237;tricos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EXCEL%20An&#225;lisis%20de%20la%20Realidad%20productiva%202020_C&#237;trico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tabSelected="1" workbookViewId="0">
      <selection activeCell="B23" sqref="B23"/>
    </sheetView>
  </sheetViews>
  <sheetFormatPr baseColWidth="10" defaultRowHeight="15" x14ac:dyDescent="0.25"/>
  <cols>
    <col min="1" max="1" width="3.7109375" customWidth="1"/>
    <col min="2" max="2" width="55.85546875" customWidth="1"/>
    <col min="3" max="3" width="47.7109375" customWidth="1"/>
  </cols>
  <sheetData>
    <row r="2" spans="2:4" ht="25.5" customHeight="1" x14ac:dyDescent="0.25">
      <c r="B2" s="199" t="s">
        <v>112</v>
      </c>
      <c r="C2" s="199"/>
    </row>
    <row r="3" spans="2:4" ht="20.25" customHeight="1" x14ac:dyDescent="0.25">
      <c r="B3" s="117" t="s">
        <v>116</v>
      </c>
      <c r="C3" s="181" t="s">
        <v>110</v>
      </c>
      <c r="D3" s="119"/>
    </row>
    <row r="4" spans="2:4" x14ac:dyDescent="0.25">
      <c r="B4" s="130" t="s">
        <v>3</v>
      </c>
      <c r="C4" s="130" t="s">
        <v>3</v>
      </c>
      <c r="D4" s="119"/>
    </row>
    <row r="5" spans="2:4" x14ac:dyDescent="0.25">
      <c r="B5" s="130" t="s">
        <v>153</v>
      </c>
      <c r="C5" s="130" t="s">
        <v>152</v>
      </c>
      <c r="D5" s="120"/>
    </row>
    <row r="6" spans="2:4" x14ac:dyDescent="0.25">
      <c r="B6" s="130" t="s">
        <v>41</v>
      </c>
      <c r="C6" s="183" t="s">
        <v>134</v>
      </c>
    </row>
    <row r="7" spans="2:4" x14ac:dyDescent="0.25">
      <c r="B7" s="130" t="s">
        <v>42</v>
      </c>
      <c r="C7" s="183" t="s">
        <v>136</v>
      </c>
    </row>
    <row r="8" spans="2:4" x14ac:dyDescent="0.25">
      <c r="B8" s="130" t="s">
        <v>190</v>
      </c>
      <c r="C8" s="183" t="s">
        <v>151</v>
      </c>
    </row>
    <row r="9" spans="2:4" x14ac:dyDescent="0.25">
      <c r="B9" s="116"/>
      <c r="C9" s="183" t="s">
        <v>137</v>
      </c>
    </row>
    <row r="10" spans="2:4" x14ac:dyDescent="0.25">
      <c r="B10" s="79"/>
      <c r="C10" s="130" t="s">
        <v>41</v>
      </c>
      <c r="D10" s="119"/>
    </row>
    <row r="11" spans="2:4" x14ac:dyDescent="0.25">
      <c r="B11" s="79"/>
      <c r="C11" s="130" t="s">
        <v>42</v>
      </c>
      <c r="D11" s="119"/>
    </row>
    <row r="12" spans="2:4" ht="27" customHeight="1" x14ac:dyDescent="0.25">
      <c r="B12" s="117" t="s">
        <v>117</v>
      </c>
      <c r="C12" s="181" t="s">
        <v>111</v>
      </c>
    </row>
    <row r="13" spans="2:4" x14ac:dyDescent="0.25">
      <c r="B13" s="130" t="s">
        <v>3</v>
      </c>
      <c r="C13" s="130" t="s">
        <v>3</v>
      </c>
      <c r="D13" s="121"/>
    </row>
    <row r="14" spans="2:4" x14ac:dyDescent="0.25">
      <c r="B14" s="130" t="s">
        <v>152</v>
      </c>
      <c r="C14" s="130" t="s">
        <v>152</v>
      </c>
      <c r="D14" s="121"/>
    </row>
    <row r="15" spans="2:4" x14ac:dyDescent="0.25">
      <c r="B15" s="183" t="s">
        <v>154</v>
      </c>
      <c r="C15" s="183" t="s">
        <v>154</v>
      </c>
      <c r="D15" s="118"/>
    </row>
    <row r="16" spans="2:4" x14ac:dyDescent="0.25">
      <c r="B16" s="183" t="s">
        <v>136</v>
      </c>
      <c r="C16" s="183" t="s">
        <v>136</v>
      </c>
      <c r="D16" s="118"/>
    </row>
    <row r="17" spans="2:4" x14ac:dyDescent="0.25">
      <c r="B17" s="183" t="s">
        <v>151</v>
      </c>
      <c r="C17" s="183" t="s">
        <v>151</v>
      </c>
      <c r="D17" s="118"/>
    </row>
    <row r="18" spans="2:4" x14ac:dyDescent="0.25">
      <c r="B18" s="183" t="s">
        <v>137</v>
      </c>
      <c r="C18" s="183" t="s">
        <v>137</v>
      </c>
      <c r="D18" s="118"/>
    </row>
    <row r="19" spans="2:4" x14ac:dyDescent="0.25">
      <c r="B19" s="130" t="s">
        <v>41</v>
      </c>
      <c r="C19" s="130" t="s">
        <v>41</v>
      </c>
      <c r="D19" s="121"/>
    </row>
    <row r="20" spans="2:4" x14ac:dyDescent="0.25">
      <c r="B20" s="130" t="s">
        <v>42</v>
      </c>
      <c r="C20" s="130" t="s">
        <v>42</v>
      </c>
      <c r="D20" s="121"/>
    </row>
    <row r="21" spans="2:4" ht="31.5" customHeight="1" x14ac:dyDescent="0.25">
      <c r="B21" s="117" t="s">
        <v>118</v>
      </c>
      <c r="C21" s="80"/>
    </row>
    <row r="22" spans="2:4" x14ac:dyDescent="0.25">
      <c r="B22" s="130" t="s">
        <v>3</v>
      </c>
      <c r="C22" s="121"/>
    </row>
    <row r="23" spans="2:4" x14ac:dyDescent="0.25">
      <c r="B23" s="130" t="s">
        <v>153</v>
      </c>
      <c r="C23" s="121"/>
    </row>
    <row r="24" spans="2:4" x14ac:dyDescent="0.25">
      <c r="B24" s="130" t="s">
        <v>41</v>
      </c>
      <c r="C24" s="121"/>
    </row>
  </sheetData>
  <mergeCells count="1">
    <mergeCell ref="B2:C2"/>
  </mergeCells>
  <hyperlinks>
    <hyperlink ref="B22" r:id="rId1" location="'NAR-VAR'!A1"/>
    <hyperlink ref="B23" r:id="rId2" location="'PC-VAR'!A1"/>
    <hyperlink ref="B24" r:id="rId3" location="'LIM-VAR'!A1"/>
    <hyperlink ref="B4" r:id="rId4" location="'NAR-REPR'!A1"/>
    <hyperlink ref="B5" r:id="rId5" location="'PC-REPR'!A1"/>
    <hyperlink ref="B6" r:id="rId6" location="'LIM-REPR'!A1"/>
    <hyperlink ref="B7" r:id="rId7" location="'POM-REPR'!A1"/>
    <hyperlink ref="B8" r:id="rId8" location="Cítricos!A1"/>
    <hyperlink ref="C4" r:id="rId9" location="'NAR-PEND'!A1"/>
    <hyperlink ref="C5" r:id="rId10" location="'PC-PEND'!A1"/>
    <hyperlink ref="C6" r:id="rId11" location="'CLE-PEND'!A1"/>
    <hyperlink ref="C7" r:id="rId12" location="'MAN-PEND'!A1"/>
    <hyperlink ref="C8" r:id="rId13" location="'MH-PEND'!A1"/>
    <hyperlink ref="C9" r:id="rId14" location="'SAT-PEND'!A1"/>
    <hyperlink ref="C10" r:id="rId15" location="'LIM-PEND'!A1"/>
    <hyperlink ref="C11" r:id="rId16" location="'POM-PEND'!A1"/>
    <hyperlink ref="B13" r:id="rId17" location="'NAR-EDAD'!A1"/>
    <hyperlink ref="B14" r:id="rId18" location="'PC-EDAD'!A1"/>
    <hyperlink ref="B15" r:id="rId19" location="'CLE-EDAD'!A1"/>
    <hyperlink ref="B16" r:id="rId20" location="'MAN-EDAD'!A1"/>
    <hyperlink ref="B17" r:id="rId21" location="'MH-EDAD'!A1"/>
    <hyperlink ref="B18" r:id="rId22" location="'SAT-EDAD'!A1"/>
    <hyperlink ref="B19" r:id="rId23" location="'LIM-EDAD'!A1"/>
    <hyperlink ref="B20" r:id="rId24" location="'POM-EDAD'!A1"/>
    <hyperlink ref="C13" r:id="rId25" location="'NAR-EXPL'!A1"/>
    <hyperlink ref="C14" r:id="rId26" location="'PC-EXPL'!A1"/>
    <hyperlink ref="C15" r:id="rId27" location="'CLE-EXPL'!A1"/>
    <hyperlink ref="C16" r:id="rId28" location="'MAN-EXPL'!A1"/>
    <hyperlink ref="C17" r:id="rId29" location="'MH-EXPL'!A1"/>
    <hyperlink ref="C18" r:id="rId30" location="'SAT-EXPL'!A1"/>
    <hyperlink ref="C19" r:id="rId31" location="'LIM-EXPL'!A1"/>
    <hyperlink ref="C20" r:id="rId32" location="'POM-EXPL'!A1"/>
  </hyperlinks>
  <pageMargins left="0.7" right="0.7" top="0.75" bottom="0.75" header="0.3" footer="0.3"/>
  <pageSetup paperSize="9"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zoomScaleNormal="100" workbookViewId="0">
      <selection activeCell="D1" sqref="D1:E1"/>
    </sheetView>
  </sheetViews>
  <sheetFormatPr baseColWidth="10" defaultRowHeight="15" x14ac:dyDescent="0.25"/>
  <cols>
    <col min="1" max="1" width="25.140625" customWidth="1"/>
    <col min="24" max="24" width="17.42578125" customWidth="1"/>
    <col min="25" max="25" width="16.140625" customWidth="1"/>
    <col min="26" max="26" width="15.140625" customWidth="1"/>
  </cols>
  <sheetData>
    <row r="1" spans="1:26" x14ac:dyDescent="0.25">
      <c r="D1" s="30" t="s">
        <v>51</v>
      </c>
      <c r="E1" s="182" t="s">
        <v>52</v>
      </c>
      <c r="F1" s="30" t="s">
        <v>156</v>
      </c>
      <c r="G1" t="s">
        <v>189</v>
      </c>
    </row>
    <row r="2" spans="1:26" ht="18.75" x14ac:dyDescent="0.3">
      <c r="A2" s="94" t="s">
        <v>142</v>
      </c>
      <c r="B2" s="36"/>
      <c r="C2" s="36"/>
      <c r="D2" s="36"/>
      <c r="E2" s="36"/>
      <c r="F2" s="36"/>
      <c r="G2" s="36"/>
      <c r="H2" s="36"/>
      <c r="K2" s="30"/>
      <c r="L2" s="31"/>
    </row>
    <row r="3" spans="1:26" ht="35.25" customHeight="1" x14ac:dyDescent="0.25">
      <c r="A3" s="32" t="s">
        <v>0</v>
      </c>
      <c r="B3" s="33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6" x14ac:dyDescent="0.25">
      <c r="A4" s="14" t="s">
        <v>4</v>
      </c>
      <c r="B4" s="40">
        <v>1775.8999999999999</v>
      </c>
      <c r="C4" s="40">
        <v>437.67999999999995</v>
      </c>
      <c r="D4" s="40">
        <v>207.20000000000002</v>
      </c>
      <c r="E4" s="40">
        <v>323.08</v>
      </c>
      <c r="F4" s="40">
        <v>220.98</v>
      </c>
      <c r="G4" s="40">
        <v>527.05999999999995</v>
      </c>
      <c r="H4" s="40">
        <v>203.77999999999997</v>
      </c>
      <c r="I4" s="40">
        <v>236.52000000000004</v>
      </c>
      <c r="J4" s="40">
        <v>147.24</v>
      </c>
      <c r="K4" s="40">
        <v>216.23</v>
      </c>
      <c r="L4" s="40">
        <v>122.29999999999998</v>
      </c>
      <c r="M4" s="40">
        <v>334.98</v>
      </c>
      <c r="N4" s="40">
        <v>124.51</v>
      </c>
      <c r="O4" s="40">
        <v>158.15</v>
      </c>
      <c r="P4" s="40">
        <v>189.12</v>
      </c>
      <c r="Q4" s="40">
        <v>189.71</v>
      </c>
      <c r="R4" s="40">
        <v>304.81</v>
      </c>
      <c r="S4" s="40">
        <v>261.32</v>
      </c>
      <c r="T4" s="40">
        <v>111.02999999999999</v>
      </c>
      <c r="U4" s="40">
        <v>142.9</v>
      </c>
      <c r="V4" s="40">
        <v>194</v>
      </c>
      <c r="W4" s="40">
        <v>95.97999999999999</v>
      </c>
      <c r="X4" s="40">
        <v>1.1300000000000001</v>
      </c>
      <c r="Y4" s="40">
        <v>6525.61</v>
      </c>
      <c r="Z4" s="66">
        <f>Y4/$Y$32</f>
        <v>0.62944100253585533</v>
      </c>
    </row>
    <row r="5" spans="1:26" x14ac:dyDescent="0.25">
      <c r="A5" s="6" t="s">
        <v>5</v>
      </c>
      <c r="B5" s="10">
        <v>364.73</v>
      </c>
      <c r="C5" s="10">
        <v>113.15</v>
      </c>
      <c r="D5" s="10">
        <v>55.92</v>
      </c>
      <c r="E5" s="10">
        <v>45.65</v>
      </c>
      <c r="F5" s="10">
        <v>13</v>
      </c>
      <c r="G5" s="10">
        <v>108.25</v>
      </c>
      <c r="H5" s="10">
        <v>71.569999999999993</v>
      </c>
      <c r="I5" s="10"/>
      <c r="J5" s="10">
        <v>11.36</v>
      </c>
      <c r="K5" s="10">
        <v>14.33</v>
      </c>
      <c r="L5" s="10">
        <v>9.26</v>
      </c>
      <c r="M5" s="10">
        <v>104.72999999999999</v>
      </c>
      <c r="N5" s="10">
        <v>38.450000000000003</v>
      </c>
      <c r="O5" s="10">
        <v>50.58</v>
      </c>
      <c r="P5" s="10">
        <v>71.87</v>
      </c>
      <c r="Q5" s="10">
        <v>66.23</v>
      </c>
      <c r="R5" s="10">
        <v>40.82</v>
      </c>
      <c r="S5" s="10">
        <v>99.1</v>
      </c>
      <c r="T5" s="10">
        <v>6.38</v>
      </c>
      <c r="U5" s="10">
        <v>44.78</v>
      </c>
      <c r="V5" s="10">
        <v>4.26</v>
      </c>
      <c r="W5" s="10"/>
      <c r="X5" s="10">
        <v>0.59</v>
      </c>
      <c r="Y5" s="10">
        <v>1335.0099999999998</v>
      </c>
      <c r="Z5" s="19">
        <f t="shared" ref="Z5:Z32" si="0">Y5/$Y$32</f>
        <v>0.12877110841674452</v>
      </c>
    </row>
    <row r="6" spans="1:26" x14ac:dyDescent="0.25">
      <c r="A6" s="6" t="s">
        <v>6</v>
      </c>
      <c r="B6" s="10">
        <v>15.72</v>
      </c>
      <c r="C6" s="10">
        <v>1.65</v>
      </c>
      <c r="D6" s="10"/>
      <c r="E6" s="10">
        <v>11.39</v>
      </c>
      <c r="F6" s="10">
        <v>46.010000000000005</v>
      </c>
      <c r="G6" s="10">
        <v>7.41</v>
      </c>
      <c r="H6" s="10">
        <v>22.39</v>
      </c>
      <c r="I6" s="10"/>
      <c r="J6" s="10">
        <v>0.79</v>
      </c>
      <c r="K6" s="10">
        <v>16.990000000000002</v>
      </c>
      <c r="L6" s="10">
        <v>0.7</v>
      </c>
      <c r="M6" s="10">
        <v>3.22</v>
      </c>
      <c r="N6" s="10"/>
      <c r="O6" s="10">
        <v>5.49</v>
      </c>
      <c r="P6" s="10">
        <v>1.21</v>
      </c>
      <c r="Q6" s="10"/>
      <c r="R6" s="10"/>
      <c r="S6" s="10">
        <v>0.09</v>
      </c>
      <c r="T6" s="10">
        <v>1.92</v>
      </c>
      <c r="U6" s="10"/>
      <c r="V6" s="10"/>
      <c r="W6" s="10"/>
      <c r="X6" s="10"/>
      <c r="Y6" s="10">
        <v>134.97999999999999</v>
      </c>
      <c r="Z6" s="19">
        <f t="shared" si="0"/>
        <v>1.3019770798789654E-2</v>
      </c>
    </row>
    <row r="7" spans="1:26" x14ac:dyDescent="0.25">
      <c r="A7" s="6" t="s">
        <v>7</v>
      </c>
      <c r="B7" s="10">
        <v>12.15</v>
      </c>
      <c r="C7" s="10">
        <v>0.44</v>
      </c>
      <c r="D7" s="10"/>
      <c r="E7" s="10"/>
      <c r="F7" s="10"/>
      <c r="G7" s="10"/>
      <c r="H7" s="10">
        <v>3.94</v>
      </c>
      <c r="I7" s="10">
        <v>23.86</v>
      </c>
      <c r="J7" s="10"/>
      <c r="K7" s="10"/>
      <c r="L7" s="10"/>
      <c r="M7" s="10">
        <v>4</v>
      </c>
      <c r="N7" s="10">
        <v>1.41</v>
      </c>
      <c r="O7" s="10"/>
      <c r="P7" s="10"/>
      <c r="Q7" s="10"/>
      <c r="R7" s="10">
        <v>10.71</v>
      </c>
      <c r="S7" s="10"/>
      <c r="T7" s="10"/>
      <c r="U7" s="10"/>
      <c r="V7" s="10">
        <v>5.64</v>
      </c>
      <c r="W7" s="10"/>
      <c r="X7" s="10"/>
      <c r="Y7" s="10">
        <v>62.15</v>
      </c>
      <c r="Z7" s="19">
        <f t="shared" si="0"/>
        <v>5.9948048240093133E-3</v>
      </c>
    </row>
    <row r="8" spans="1:26" x14ac:dyDescent="0.25">
      <c r="A8" s="6" t="s">
        <v>8</v>
      </c>
      <c r="B8" s="10">
        <v>0.63000000000000012</v>
      </c>
      <c r="C8" s="10">
        <v>0.8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0.05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1.48</v>
      </c>
      <c r="Z8" s="19">
        <f t="shared" si="0"/>
        <v>1.4275641415179057E-4</v>
      </c>
    </row>
    <row r="9" spans="1:26" x14ac:dyDescent="0.25">
      <c r="A9" s="6" t="s">
        <v>9</v>
      </c>
      <c r="B9" s="10">
        <v>1128.5999999999999</v>
      </c>
      <c r="C9" s="10">
        <v>160.66</v>
      </c>
      <c r="D9" s="10">
        <v>141.07</v>
      </c>
      <c r="E9" s="10">
        <v>233.47</v>
      </c>
      <c r="F9" s="10">
        <v>114.08999999999999</v>
      </c>
      <c r="G9" s="10">
        <v>342.09000000000003</v>
      </c>
      <c r="H9" s="10">
        <v>70.69</v>
      </c>
      <c r="I9" s="10">
        <v>59.19</v>
      </c>
      <c r="J9" s="10">
        <v>86.57</v>
      </c>
      <c r="K9" s="10">
        <v>118.69</v>
      </c>
      <c r="L9" s="10">
        <v>89.259999999999991</v>
      </c>
      <c r="M9" s="10">
        <v>177.95999999999998</v>
      </c>
      <c r="N9" s="10">
        <v>80.34</v>
      </c>
      <c r="O9" s="10">
        <v>92.26</v>
      </c>
      <c r="P9" s="10">
        <v>91.01</v>
      </c>
      <c r="Q9" s="10">
        <v>84.77</v>
      </c>
      <c r="R9" s="10">
        <v>147.47999999999999</v>
      </c>
      <c r="S9" s="10">
        <v>130.46</v>
      </c>
      <c r="T9" s="10">
        <v>46.91</v>
      </c>
      <c r="U9" s="10">
        <v>29.7</v>
      </c>
      <c r="V9" s="10">
        <v>109.88</v>
      </c>
      <c r="W9" s="10">
        <v>17.28</v>
      </c>
      <c r="X9" s="10">
        <v>0.53</v>
      </c>
      <c r="Y9" s="10">
        <v>3552.96</v>
      </c>
      <c r="Z9" s="19">
        <f t="shared" si="0"/>
        <v>0.34270799271942282</v>
      </c>
    </row>
    <row r="10" spans="1:26" x14ac:dyDescent="0.25">
      <c r="A10" s="6" t="s">
        <v>11</v>
      </c>
      <c r="B10" s="10">
        <v>90.81</v>
      </c>
      <c r="C10" s="10">
        <v>23.52</v>
      </c>
      <c r="D10" s="10">
        <v>1.5</v>
      </c>
      <c r="E10" s="10"/>
      <c r="F10" s="10"/>
      <c r="G10" s="10"/>
      <c r="H10" s="10">
        <v>3.17</v>
      </c>
      <c r="I10" s="10">
        <v>1.81</v>
      </c>
      <c r="J10" s="10">
        <v>3.78</v>
      </c>
      <c r="K10" s="10">
        <v>1.9700000000000002</v>
      </c>
      <c r="L10" s="10">
        <v>8.4599999999999991</v>
      </c>
      <c r="M10" s="10">
        <v>5.97</v>
      </c>
      <c r="N10" s="10"/>
      <c r="O10" s="10">
        <v>1</v>
      </c>
      <c r="P10" s="10">
        <v>2.4700000000000002</v>
      </c>
      <c r="Q10" s="10">
        <v>15.899999999999999</v>
      </c>
      <c r="R10" s="10">
        <v>0.12</v>
      </c>
      <c r="S10" s="10">
        <v>2.54</v>
      </c>
      <c r="T10" s="10">
        <v>0.16</v>
      </c>
      <c r="U10" s="10">
        <v>6.43</v>
      </c>
      <c r="V10" s="10">
        <v>4.41</v>
      </c>
      <c r="W10" s="10">
        <v>15.93</v>
      </c>
      <c r="X10" s="10"/>
      <c r="Y10" s="10">
        <v>189.95000000000002</v>
      </c>
      <c r="Z10" s="19">
        <f t="shared" si="0"/>
        <v>1.8322014100089608E-2</v>
      </c>
    </row>
    <row r="11" spans="1:26" x14ac:dyDescent="0.25">
      <c r="A11" s="6" t="s">
        <v>12</v>
      </c>
      <c r="B11" s="10">
        <v>163.26</v>
      </c>
      <c r="C11" s="10">
        <v>137.46</v>
      </c>
      <c r="D11" s="10">
        <v>8.7100000000000009</v>
      </c>
      <c r="E11" s="10">
        <v>32.57</v>
      </c>
      <c r="F11" s="10">
        <v>47.879999999999995</v>
      </c>
      <c r="G11" s="10">
        <v>69.31</v>
      </c>
      <c r="H11" s="10">
        <v>32.020000000000003</v>
      </c>
      <c r="I11" s="10">
        <v>151.66000000000003</v>
      </c>
      <c r="J11" s="10">
        <v>44.739999999999995</v>
      </c>
      <c r="K11" s="10">
        <v>64.25</v>
      </c>
      <c r="L11" s="10">
        <v>14.62</v>
      </c>
      <c r="M11" s="10">
        <v>39.1</v>
      </c>
      <c r="N11" s="10">
        <v>4.26</v>
      </c>
      <c r="O11" s="10">
        <v>8.82</v>
      </c>
      <c r="P11" s="10">
        <v>22.56</v>
      </c>
      <c r="Q11" s="10">
        <v>22.81</v>
      </c>
      <c r="R11" s="10">
        <v>105.68</v>
      </c>
      <c r="S11" s="10">
        <v>29.130000000000003</v>
      </c>
      <c r="T11" s="10">
        <v>55.66</v>
      </c>
      <c r="U11" s="10">
        <v>61.99</v>
      </c>
      <c r="V11" s="10">
        <v>69.81</v>
      </c>
      <c r="W11" s="10">
        <v>62.769999999999996</v>
      </c>
      <c r="X11" s="10">
        <v>0.01</v>
      </c>
      <c r="Y11" s="10">
        <v>1249.0800000000002</v>
      </c>
      <c r="Z11" s="19">
        <f t="shared" si="0"/>
        <v>0.12048255526264769</v>
      </c>
    </row>
    <row r="12" spans="1:26" x14ac:dyDescent="0.25">
      <c r="A12" s="14" t="s">
        <v>14</v>
      </c>
      <c r="B12" s="40">
        <v>256.78000000000003</v>
      </c>
      <c r="C12" s="40">
        <v>47.9</v>
      </c>
      <c r="D12" s="40">
        <v>12.559999999999999</v>
      </c>
      <c r="E12" s="40">
        <v>23.700000000000003</v>
      </c>
      <c r="F12" s="40">
        <v>34.629999999999995</v>
      </c>
      <c r="G12" s="40">
        <v>11.18</v>
      </c>
      <c r="H12" s="40">
        <v>31.059999999999995</v>
      </c>
      <c r="I12" s="40">
        <v>0.24</v>
      </c>
      <c r="J12" s="40">
        <v>4.2300000000000004</v>
      </c>
      <c r="K12" s="40">
        <v>6.9</v>
      </c>
      <c r="L12" s="40">
        <v>7.3400000000000016</v>
      </c>
      <c r="M12" s="40">
        <v>51.48</v>
      </c>
      <c r="N12" s="40">
        <v>8.83</v>
      </c>
      <c r="O12" s="40">
        <v>32.71</v>
      </c>
      <c r="P12" s="40">
        <v>24.580000000000002</v>
      </c>
      <c r="Q12" s="40">
        <v>14.530000000000001</v>
      </c>
      <c r="R12" s="40">
        <v>16.760000000000002</v>
      </c>
      <c r="S12" s="40">
        <v>15.850000000000001</v>
      </c>
      <c r="T12" s="40">
        <v>17.68</v>
      </c>
      <c r="U12" s="40">
        <v>8.83</v>
      </c>
      <c r="V12" s="40">
        <v>23.809999999999995</v>
      </c>
      <c r="W12" s="40">
        <v>5.88</v>
      </c>
      <c r="X12" s="40">
        <v>2.67</v>
      </c>
      <c r="Y12" s="40">
        <v>660.13</v>
      </c>
      <c r="Z12" s="66">
        <f t="shared" si="0"/>
        <v>6.3674183563528039E-2</v>
      </c>
    </row>
    <row r="13" spans="1:26" x14ac:dyDescent="0.25">
      <c r="A13" s="6" t="s">
        <v>15</v>
      </c>
      <c r="B13" s="10">
        <v>51.830000000000005</v>
      </c>
      <c r="C13" s="10">
        <v>10.94</v>
      </c>
      <c r="D13" s="10">
        <v>0.31</v>
      </c>
      <c r="E13" s="10">
        <v>9.91</v>
      </c>
      <c r="F13" s="10">
        <v>0.06</v>
      </c>
      <c r="G13" s="10">
        <v>0.21</v>
      </c>
      <c r="H13" s="10">
        <v>15.45</v>
      </c>
      <c r="I13" s="10">
        <v>0.24</v>
      </c>
      <c r="J13" s="10">
        <v>3.35</v>
      </c>
      <c r="K13" s="10">
        <v>0.66</v>
      </c>
      <c r="L13" s="10">
        <v>0.36</v>
      </c>
      <c r="M13" s="10">
        <v>39.18</v>
      </c>
      <c r="N13" s="10">
        <v>0.81</v>
      </c>
      <c r="O13" s="10">
        <v>27.95</v>
      </c>
      <c r="P13" s="10">
        <v>22.41</v>
      </c>
      <c r="Q13" s="10">
        <v>7.66</v>
      </c>
      <c r="R13" s="10">
        <v>3.9</v>
      </c>
      <c r="S13" s="10">
        <v>7.1099999999999994</v>
      </c>
      <c r="T13" s="10">
        <v>11.95</v>
      </c>
      <c r="U13" s="10">
        <v>3.11</v>
      </c>
      <c r="V13" s="10">
        <v>17.759999999999998</v>
      </c>
      <c r="W13" s="10">
        <v>4.46</v>
      </c>
      <c r="X13" s="10">
        <v>0.61</v>
      </c>
      <c r="Y13" s="10">
        <v>240.23000000000002</v>
      </c>
      <c r="Z13" s="19">
        <f t="shared" si="0"/>
        <v>2.3171873899786925E-2</v>
      </c>
    </row>
    <row r="14" spans="1:26" x14ac:dyDescent="0.25">
      <c r="A14" s="6" t="s">
        <v>16</v>
      </c>
      <c r="B14" s="10">
        <v>152.36000000000001</v>
      </c>
      <c r="C14" s="10">
        <v>13.75</v>
      </c>
      <c r="D14" s="10">
        <v>5.35</v>
      </c>
      <c r="E14" s="10"/>
      <c r="F14" s="10">
        <v>15.9</v>
      </c>
      <c r="G14" s="10">
        <v>5.0999999999999996</v>
      </c>
      <c r="H14" s="10">
        <v>2.17</v>
      </c>
      <c r="I14" s="10"/>
      <c r="J14" s="10">
        <v>0.72</v>
      </c>
      <c r="K14" s="10">
        <v>4.82</v>
      </c>
      <c r="L14" s="10">
        <v>4.7600000000000007</v>
      </c>
      <c r="M14" s="10">
        <v>2.37</v>
      </c>
      <c r="N14" s="10">
        <v>4.3499999999999996</v>
      </c>
      <c r="O14" s="10"/>
      <c r="P14" s="10">
        <v>0.94</v>
      </c>
      <c r="Q14" s="10"/>
      <c r="R14" s="10">
        <v>8.15</v>
      </c>
      <c r="S14" s="10">
        <v>1.81</v>
      </c>
      <c r="T14" s="10">
        <v>1.57</v>
      </c>
      <c r="U14" s="10">
        <v>1.84</v>
      </c>
      <c r="V14" s="10">
        <v>1.2000000000000002</v>
      </c>
      <c r="W14" s="10"/>
      <c r="X14" s="10">
        <v>1.1499999999999999</v>
      </c>
      <c r="Y14" s="10">
        <v>228.31</v>
      </c>
      <c r="Z14" s="19">
        <f t="shared" si="0"/>
        <v>2.2022106023645474E-2</v>
      </c>
    </row>
    <row r="15" spans="1:26" x14ac:dyDescent="0.25">
      <c r="A15" s="6" t="s">
        <v>17</v>
      </c>
      <c r="B15" s="10">
        <v>52.590000000000011</v>
      </c>
      <c r="C15" s="10">
        <v>23.21</v>
      </c>
      <c r="D15" s="10">
        <v>6.9</v>
      </c>
      <c r="E15" s="10">
        <v>13.790000000000001</v>
      </c>
      <c r="F15" s="10">
        <v>18.669999999999998</v>
      </c>
      <c r="G15" s="10">
        <v>5.87</v>
      </c>
      <c r="H15" s="10">
        <v>13.44</v>
      </c>
      <c r="I15" s="10"/>
      <c r="J15" s="10">
        <v>0.16</v>
      </c>
      <c r="K15" s="10">
        <v>1.42</v>
      </c>
      <c r="L15" s="10">
        <v>2.2200000000000002</v>
      </c>
      <c r="M15" s="10">
        <v>9.93</v>
      </c>
      <c r="N15" s="10">
        <v>3.67</v>
      </c>
      <c r="O15" s="10">
        <v>4.76</v>
      </c>
      <c r="P15" s="10">
        <v>1.23</v>
      </c>
      <c r="Q15" s="10">
        <v>6.87</v>
      </c>
      <c r="R15" s="10">
        <v>4.71</v>
      </c>
      <c r="S15" s="10">
        <v>6.9300000000000006</v>
      </c>
      <c r="T15" s="10">
        <v>4.16</v>
      </c>
      <c r="U15" s="10">
        <v>3.88</v>
      </c>
      <c r="V15" s="10">
        <v>4.8499999999999996</v>
      </c>
      <c r="W15" s="10">
        <v>1.42</v>
      </c>
      <c r="X15" s="10">
        <v>0.91</v>
      </c>
      <c r="Y15" s="10">
        <v>191.58999999999997</v>
      </c>
      <c r="Z15" s="19">
        <f t="shared" si="0"/>
        <v>1.8480203640095644E-2</v>
      </c>
    </row>
    <row r="16" spans="1:26" x14ac:dyDescent="0.25">
      <c r="A16" s="14" t="s">
        <v>39</v>
      </c>
      <c r="B16" s="40">
        <v>0.16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0.16</v>
      </c>
      <c r="Z16" s="66">
        <f t="shared" si="0"/>
        <v>1.543312585424763E-5</v>
      </c>
    </row>
    <row r="17" spans="1:26" x14ac:dyDescent="0.25">
      <c r="A17" s="6" t="s">
        <v>40</v>
      </c>
      <c r="B17" s="10">
        <v>0.16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0.16</v>
      </c>
      <c r="Z17" s="19">
        <f t="shared" si="0"/>
        <v>1.543312585424763E-5</v>
      </c>
    </row>
    <row r="18" spans="1:26" x14ac:dyDescent="0.25">
      <c r="A18" s="14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>
        <v>0.08</v>
      </c>
      <c r="Y18" s="40">
        <v>0.08</v>
      </c>
      <c r="Z18" s="66">
        <f t="shared" si="0"/>
        <v>7.7165629271238149E-6</v>
      </c>
    </row>
    <row r="19" spans="1:26" x14ac:dyDescent="0.25">
      <c r="A19" s="6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0.08</v>
      </c>
      <c r="Y19" s="10">
        <v>0.08</v>
      </c>
      <c r="Z19" s="19">
        <f t="shared" si="0"/>
        <v>7.7165629271238149E-6</v>
      </c>
    </row>
    <row r="20" spans="1:26" x14ac:dyDescent="0.25">
      <c r="A20" s="14" t="s">
        <v>19</v>
      </c>
      <c r="B20" s="40">
        <v>2.29</v>
      </c>
      <c r="C20" s="40"/>
      <c r="D20" s="40"/>
      <c r="E20" s="40"/>
      <c r="F20" s="40">
        <v>0.56999999999999995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v>2.86</v>
      </c>
      <c r="Z20" s="66">
        <f t="shared" si="0"/>
        <v>2.7586712464467637E-4</v>
      </c>
    </row>
    <row r="21" spans="1:26" x14ac:dyDescent="0.25">
      <c r="A21" s="6" t="s">
        <v>22</v>
      </c>
      <c r="B21" s="10">
        <v>2.29</v>
      </c>
      <c r="C21" s="10"/>
      <c r="D21" s="10"/>
      <c r="E21" s="10"/>
      <c r="F21" s="10">
        <v>0.56999999999999995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2.86</v>
      </c>
      <c r="Z21" s="19">
        <f t="shared" si="0"/>
        <v>2.7586712464467637E-4</v>
      </c>
    </row>
    <row r="22" spans="1:26" x14ac:dyDescent="0.25">
      <c r="A22" s="14" t="s">
        <v>23</v>
      </c>
      <c r="B22" s="40"/>
      <c r="C22" s="40">
        <v>0.14000000000000001</v>
      </c>
      <c r="D22" s="40"/>
      <c r="E22" s="40">
        <v>6.1</v>
      </c>
      <c r="F22" s="40"/>
      <c r="G22" s="40"/>
      <c r="H22" s="40"/>
      <c r="I22" s="40">
        <v>7.0000000000000007E-2</v>
      </c>
      <c r="J22" s="40"/>
      <c r="K22" s="40">
        <v>0.12</v>
      </c>
      <c r="L22" s="40"/>
      <c r="M22" s="40">
        <v>0.01</v>
      </c>
      <c r="N22" s="40"/>
      <c r="O22" s="40"/>
      <c r="P22" s="40"/>
      <c r="Q22" s="40">
        <v>7.0000000000000007E-2</v>
      </c>
      <c r="R22" s="40"/>
      <c r="S22" s="40"/>
      <c r="T22" s="40"/>
      <c r="U22" s="40"/>
      <c r="V22" s="40"/>
      <c r="W22" s="40"/>
      <c r="X22" s="40"/>
      <c r="Y22" s="40">
        <v>6.51</v>
      </c>
      <c r="Z22" s="66">
        <f t="shared" si="0"/>
        <v>6.2793530819470038E-4</v>
      </c>
    </row>
    <row r="23" spans="1:26" x14ac:dyDescent="0.25">
      <c r="A23" s="6" t="s">
        <v>24</v>
      </c>
      <c r="B23" s="10"/>
      <c r="C23" s="10"/>
      <c r="D23" s="10"/>
      <c r="E23" s="10">
        <v>6.1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7.0000000000000007E-2</v>
      </c>
      <c r="R23" s="10"/>
      <c r="S23" s="10"/>
      <c r="T23" s="10"/>
      <c r="U23" s="10"/>
      <c r="V23" s="10"/>
      <c r="W23" s="10"/>
      <c r="X23" s="10"/>
      <c r="Y23" s="10">
        <v>6.17</v>
      </c>
      <c r="Z23" s="19">
        <f t="shared" si="0"/>
        <v>5.9513991575442418E-4</v>
      </c>
    </row>
    <row r="24" spans="1:26" x14ac:dyDescent="0.25">
      <c r="A24" s="6" t="s">
        <v>25</v>
      </c>
      <c r="B24" s="10"/>
      <c r="C24" s="10">
        <v>0.14000000000000001</v>
      </c>
      <c r="D24" s="10"/>
      <c r="E24" s="10"/>
      <c r="F24" s="10"/>
      <c r="G24" s="10"/>
      <c r="H24" s="10"/>
      <c r="I24" s="10">
        <v>7.0000000000000007E-2</v>
      </c>
      <c r="J24" s="10"/>
      <c r="K24" s="10">
        <v>0.12</v>
      </c>
      <c r="L24" s="10"/>
      <c r="M24" s="10">
        <v>0.01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>
        <v>0.34</v>
      </c>
      <c r="Z24" s="19">
        <f t="shared" si="0"/>
        <v>3.2795392440276212E-5</v>
      </c>
    </row>
    <row r="25" spans="1:26" x14ac:dyDescent="0.25">
      <c r="A25" s="14" t="s">
        <v>28</v>
      </c>
      <c r="B25" s="40">
        <v>4.41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>
        <v>0.47</v>
      </c>
      <c r="Q25" s="40"/>
      <c r="R25" s="40"/>
      <c r="S25" s="40"/>
      <c r="T25" s="40"/>
      <c r="U25" s="40"/>
      <c r="V25" s="40"/>
      <c r="W25" s="40"/>
      <c r="X25" s="40"/>
      <c r="Y25" s="40">
        <v>4.88</v>
      </c>
      <c r="Z25" s="66">
        <f t="shared" si="0"/>
        <v>4.7071033855455266E-4</v>
      </c>
    </row>
    <row r="26" spans="1:26" x14ac:dyDescent="0.25">
      <c r="A26" s="6" t="s">
        <v>28</v>
      </c>
      <c r="B26" s="10">
        <v>4.41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>
        <v>0.47</v>
      </c>
      <c r="Q26" s="10"/>
      <c r="R26" s="10"/>
      <c r="S26" s="10"/>
      <c r="T26" s="10"/>
      <c r="U26" s="10"/>
      <c r="V26" s="10"/>
      <c r="W26" s="10"/>
      <c r="X26" s="10"/>
      <c r="Y26" s="10">
        <v>4.88</v>
      </c>
      <c r="Z26" s="19">
        <f t="shared" si="0"/>
        <v>4.7071033855455266E-4</v>
      </c>
    </row>
    <row r="27" spans="1:26" x14ac:dyDescent="0.25">
      <c r="A27" s="14" t="s">
        <v>29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>
        <v>16.759999999999998</v>
      </c>
      <c r="Y27" s="40">
        <v>16.759999999999998</v>
      </c>
      <c r="Z27" s="66">
        <f t="shared" si="0"/>
        <v>1.6166199332324389E-3</v>
      </c>
    </row>
    <row r="28" spans="1:26" x14ac:dyDescent="0.25">
      <c r="A28" s="6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v>10.01</v>
      </c>
      <c r="Y28" s="10">
        <v>10.01</v>
      </c>
      <c r="Z28" s="19">
        <f t="shared" si="0"/>
        <v>9.6553493625636724E-4</v>
      </c>
    </row>
    <row r="29" spans="1:26" x14ac:dyDescent="0.25">
      <c r="A29" s="6" t="s">
        <v>31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6.75</v>
      </c>
      <c r="Y29" s="10">
        <v>6.75</v>
      </c>
      <c r="Z29" s="19">
        <f t="shared" si="0"/>
        <v>6.5108499697607181E-4</v>
      </c>
    </row>
    <row r="30" spans="1:26" x14ac:dyDescent="0.25">
      <c r="A30" s="14" t="s">
        <v>32</v>
      </c>
      <c r="B30" s="40">
        <v>297.54000000000002</v>
      </c>
      <c r="C30" s="40">
        <v>246.54</v>
      </c>
      <c r="D30" s="40">
        <v>174</v>
      </c>
      <c r="E30" s="40">
        <v>37.520000000000003</v>
      </c>
      <c r="F30" s="40">
        <v>131.41</v>
      </c>
      <c r="G30" s="40">
        <v>135.47999999999999</v>
      </c>
      <c r="H30" s="40">
        <v>136.47999999999999</v>
      </c>
      <c r="I30" s="40">
        <v>112.30000000000001</v>
      </c>
      <c r="J30" s="40">
        <v>39.909999999999997</v>
      </c>
      <c r="K30" s="40">
        <v>79.03</v>
      </c>
      <c r="L30" s="40">
        <v>37.489999999999995</v>
      </c>
      <c r="M30" s="40">
        <v>182.92000000000002</v>
      </c>
      <c r="N30" s="40">
        <v>157.19</v>
      </c>
      <c r="O30" s="40">
        <v>156.84</v>
      </c>
      <c r="P30" s="40">
        <v>198.29999999999998</v>
      </c>
      <c r="Q30" s="40">
        <v>297.62</v>
      </c>
      <c r="R30" s="40">
        <v>200.68</v>
      </c>
      <c r="S30" s="40">
        <v>161.04</v>
      </c>
      <c r="T30" s="40">
        <v>78.81</v>
      </c>
      <c r="U30" s="40">
        <v>188.55</v>
      </c>
      <c r="V30" s="40">
        <v>58.89</v>
      </c>
      <c r="W30" s="40">
        <v>9.2200000000000006</v>
      </c>
      <c r="X30" s="40">
        <v>32.56</v>
      </c>
      <c r="Y30" s="40">
        <v>3150.3200000000006</v>
      </c>
      <c r="Z30" s="66">
        <f t="shared" si="0"/>
        <v>0.30387053150720872</v>
      </c>
    </row>
    <row r="31" spans="1:26" x14ac:dyDescent="0.25">
      <c r="A31" s="6" t="s">
        <v>32</v>
      </c>
      <c r="B31" s="10">
        <v>297.54000000000002</v>
      </c>
      <c r="C31" s="10">
        <v>246.54</v>
      </c>
      <c r="D31" s="10">
        <v>174</v>
      </c>
      <c r="E31" s="10">
        <v>37.520000000000003</v>
      </c>
      <c r="F31" s="10">
        <v>131.41</v>
      </c>
      <c r="G31" s="10">
        <v>135.47999999999999</v>
      </c>
      <c r="H31" s="10">
        <v>136.47999999999999</v>
      </c>
      <c r="I31" s="10">
        <v>112.30000000000001</v>
      </c>
      <c r="J31" s="10">
        <v>39.909999999999997</v>
      </c>
      <c r="K31" s="10">
        <v>79.03</v>
      </c>
      <c r="L31" s="10">
        <v>37.489999999999995</v>
      </c>
      <c r="M31" s="10">
        <v>182.92000000000002</v>
      </c>
      <c r="N31" s="10">
        <v>157.19</v>
      </c>
      <c r="O31" s="10">
        <v>156.84</v>
      </c>
      <c r="P31" s="10">
        <v>198.29999999999998</v>
      </c>
      <c r="Q31" s="10">
        <v>297.62</v>
      </c>
      <c r="R31" s="10">
        <v>200.68</v>
      </c>
      <c r="S31" s="10">
        <v>161.04</v>
      </c>
      <c r="T31" s="10">
        <v>78.81</v>
      </c>
      <c r="U31" s="10">
        <v>188.55</v>
      </c>
      <c r="V31" s="10">
        <v>58.89</v>
      </c>
      <c r="W31" s="10">
        <v>9.2200000000000006</v>
      </c>
      <c r="X31" s="10">
        <v>32.56</v>
      </c>
      <c r="Y31" s="10">
        <v>3150.3200000000006</v>
      </c>
      <c r="Z31" s="19">
        <f t="shared" si="0"/>
        <v>0.30387053150720872</v>
      </c>
    </row>
    <row r="32" spans="1:26" x14ac:dyDescent="0.25">
      <c r="A32" s="39" t="s">
        <v>33</v>
      </c>
      <c r="B32" s="41">
        <v>2337.08</v>
      </c>
      <c r="C32" s="41">
        <v>732.26</v>
      </c>
      <c r="D32" s="41">
        <v>393.76</v>
      </c>
      <c r="E32" s="41">
        <v>390.4</v>
      </c>
      <c r="F32" s="41">
        <v>387.58999999999992</v>
      </c>
      <c r="G32" s="41">
        <v>673.72</v>
      </c>
      <c r="H32" s="41">
        <v>371.32</v>
      </c>
      <c r="I32" s="41">
        <v>349.13</v>
      </c>
      <c r="J32" s="41">
        <v>191.38</v>
      </c>
      <c r="K32" s="41">
        <v>302.27999999999997</v>
      </c>
      <c r="L32" s="41">
        <v>167.13</v>
      </c>
      <c r="M32" s="41">
        <v>569.39</v>
      </c>
      <c r="N32" s="41">
        <v>290.52999999999997</v>
      </c>
      <c r="O32" s="41">
        <v>347.70000000000005</v>
      </c>
      <c r="P32" s="41">
        <v>412.46999999999997</v>
      </c>
      <c r="Q32" s="41">
        <v>501.92999999999995</v>
      </c>
      <c r="R32" s="41">
        <v>522.25</v>
      </c>
      <c r="S32" s="41">
        <v>438.21000000000004</v>
      </c>
      <c r="T32" s="41">
        <v>207.51999999999998</v>
      </c>
      <c r="U32" s="41">
        <v>340.28</v>
      </c>
      <c r="V32" s="41">
        <v>276.7</v>
      </c>
      <c r="W32" s="41">
        <v>111.08</v>
      </c>
      <c r="X32" s="41">
        <v>53.199999999999989</v>
      </c>
      <c r="Y32" s="41">
        <v>10367.310000000001</v>
      </c>
      <c r="Z32" s="64">
        <f t="shared" si="0"/>
        <v>1</v>
      </c>
    </row>
    <row r="36" spans="1:24" ht="15.75" x14ac:dyDescent="0.25">
      <c r="A36" s="67" t="s">
        <v>56</v>
      </c>
      <c r="B36" s="68" t="s">
        <v>188</v>
      </c>
      <c r="C36" s="68">
        <v>2000</v>
      </c>
      <c r="D36" s="68">
        <v>2001</v>
      </c>
      <c r="E36" s="68">
        <v>2002</v>
      </c>
      <c r="F36" s="68">
        <v>2003</v>
      </c>
      <c r="G36" s="68">
        <v>2004</v>
      </c>
      <c r="H36" s="68">
        <v>2005</v>
      </c>
      <c r="I36" s="68">
        <v>2006</v>
      </c>
      <c r="J36" s="68">
        <v>2007</v>
      </c>
      <c r="K36" s="68">
        <v>2008</v>
      </c>
      <c r="L36" s="68">
        <v>2009</v>
      </c>
      <c r="M36" s="68">
        <v>2010</v>
      </c>
      <c r="N36" s="68">
        <v>2011</v>
      </c>
      <c r="O36" s="68">
        <v>2012</v>
      </c>
      <c r="P36" s="68">
        <v>2013</v>
      </c>
      <c r="Q36" s="68">
        <v>2014</v>
      </c>
      <c r="R36" s="68">
        <v>2015</v>
      </c>
      <c r="S36" s="68">
        <v>2016</v>
      </c>
      <c r="T36" s="68">
        <v>2017</v>
      </c>
      <c r="U36" s="68">
        <v>2018</v>
      </c>
      <c r="V36" s="68">
        <v>2019</v>
      </c>
      <c r="W36" s="68">
        <v>2020</v>
      </c>
      <c r="X36" s="69" t="s">
        <v>53</v>
      </c>
    </row>
    <row r="37" spans="1:24" x14ac:dyDescent="0.25">
      <c r="A37" s="7" t="s">
        <v>4</v>
      </c>
      <c r="B37" s="19">
        <f>B4/$Y$4</f>
        <v>0.27214314064125805</v>
      </c>
      <c r="C37" s="19">
        <f t="shared" ref="C37:W37" si="1">C4/$Y$4</f>
        <v>6.7071124385306505E-2</v>
      </c>
      <c r="D37" s="19">
        <f t="shared" si="1"/>
        <v>3.1751820902566966E-2</v>
      </c>
      <c r="E37" s="19">
        <f t="shared" si="1"/>
        <v>4.950954776641571E-2</v>
      </c>
      <c r="F37" s="19">
        <f t="shared" si="1"/>
        <v>3.3863500883442317E-2</v>
      </c>
      <c r="G37" s="19">
        <f t="shared" si="1"/>
        <v>8.076792820901034E-2</v>
      </c>
      <c r="H37" s="19">
        <f t="shared" si="1"/>
        <v>3.1227731966819959E-2</v>
      </c>
      <c r="I37" s="19">
        <f t="shared" si="1"/>
        <v>3.6244887451134841E-2</v>
      </c>
      <c r="J37" s="19">
        <f t="shared" si="1"/>
        <v>2.2563407865318342E-2</v>
      </c>
      <c r="K37" s="19">
        <f t="shared" si="1"/>
        <v>3.3135599583793696E-2</v>
      </c>
      <c r="L37" s="19">
        <f t="shared" si="1"/>
        <v>1.8741542936215924E-2</v>
      </c>
      <c r="M37" s="19">
        <f t="shared" si="1"/>
        <v>5.1333132075009086E-2</v>
      </c>
      <c r="N37" s="19">
        <f t="shared" si="1"/>
        <v>1.9080208593526125E-2</v>
      </c>
      <c r="O37" s="19">
        <f t="shared" si="1"/>
        <v>2.4235282218827054E-2</v>
      </c>
      <c r="P37" s="19">
        <f t="shared" si="1"/>
        <v>2.8981198692536025E-2</v>
      </c>
      <c r="Q37" s="19">
        <f t="shared" si="1"/>
        <v>2.9071611696071326E-2</v>
      </c>
      <c r="R37" s="19">
        <f t="shared" si="1"/>
        <v>4.6709809504398826E-2</v>
      </c>
      <c r="S37" s="19">
        <f t="shared" si="1"/>
        <v>4.0045298447194975E-2</v>
      </c>
      <c r="T37" s="19">
        <f t="shared" si="1"/>
        <v>1.7014501326312787E-2</v>
      </c>
      <c r="U37" s="19">
        <f t="shared" si="1"/>
        <v>2.1898335941007815E-2</v>
      </c>
      <c r="V37" s="19">
        <f t="shared" si="1"/>
        <v>2.972902150143818E-2</v>
      </c>
      <c r="W37" s="19">
        <f t="shared" si="1"/>
        <v>1.4708203524268229E-2</v>
      </c>
      <c r="X37" s="89">
        <f>X4/Y4</f>
        <v>1.7316388812693375E-4</v>
      </c>
    </row>
    <row r="38" spans="1:24" x14ac:dyDescent="0.25">
      <c r="A38" s="7" t="s">
        <v>14</v>
      </c>
      <c r="B38" s="19">
        <f>B12/$Y$12</f>
        <v>0.38898398800236322</v>
      </c>
      <c r="C38" s="19">
        <f t="shared" ref="C38:W38" si="2">C12/$Y$12</f>
        <v>7.256146516595216E-2</v>
      </c>
      <c r="D38" s="19">
        <f t="shared" si="2"/>
        <v>1.9026555375456347E-2</v>
      </c>
      <c r="E38" s="19">
        <f t="shared" si="2"/>
        <v>3.5902019299228947E-2</v>
      </c>
      <c r="F38" s="19">
        <f t="shared" si="2"/>
        <v>5.2459364064653922E-2</v>
      </c>
      <c r="G38" s="19">
        <f t="shared" si="2"/>
        <v>1.6936058049172132E-2</v>
      </c>
      <c r="H38" s="19">
        <f t="shared" si="2"/>
        <v>4.7051338372744757E-2</v>
      </c>
      <c r="I38" s="19">
        <f t="shared" si="2"/>
        <v>3.635647523972551E-4</v>
      </c>
      <c r="J38" s="19">
        <f t="shared" si="2"/>
        <v>6.4078287610016219E-3</v>
      </c>
      <c r="K38" s="19">
        <f t="shared" si="2"/>
        <v>1.0452486631421084E-2</v>
      </c>
      <c r="L38" s="19">
        <f t="shared" si="2"/>
        <v>1.1119022010816054E-2</v>
      </c>
      <c r="M38" s="19">
        <f t="shared" si="2"/>
        <v>7.7984639389211213E-2</v>
      </c>
      <c r="N38" s="19">
        <f t="shared" si="2"/>
        <v>1.337615318194901E-2</v>
      </c>
      <c r="O38" s="19">
        <f t="shared" si="2"/>
        <v>4.955084604547589E-2</v>
      </c>
      <c r="P38" s="19">
        <f t="shared" si="2"/>
        <v>3.723509005801888E-2</v>
      </c>
      <c r="Q38" s="19">
        <f t="shared" si="2"/>
        <v>2.201081605138382E-2</v>
      </c>
      <c r="R38" s="19">
        <f t="shared" si="2"/>
        <v>2.5388938542408316E-2</v>
      </c>
      <c r="S38" s="19">
        <f t="shared" si="2"/>
        <v>2.4010422189568725E-2</v>
      </c>
      <c r="T38" s="19">
        <f t="shared" si="2"/>
        <v>2.678260342659779E-2</v>
      </c>
      <c r="U38" s="19">
        <f t="shared" si="2"/>
        <v>1.337615318194901E-2</v>
      </c>
      <c r="V38" s="19">
        <f t="shared" si="2"/>
        <v>3.6068653144077673E-2</v>
      </c>
      <c r="W38" s="19">
        <f t="shared" si="2"/>
        <v>8.9073364337327494E-3</v>
      </c>
      <c r="X38" s="138">
        <f>X12/Y12</f>
        <v>4.0446578704194632E-3</v>
      </c>
    </row>
    <row r="39" spans="1:24" x14ac:dyDescent="0.25">
      <c r="A39" s="7" t="s">
        <v>39</v>
      </c>
      <c r="B39" s="19">
        <f>B16/$Y$16</f>
        <v>1</v>
      </c>
      <c r="C39" s="19">
        <f t="shared" ref="C39:W39" si="3">C16/$Y$16</f>
        <v>0</v>
      </c>
      <c r="D39" s="19">
        <f t="shared" si="3"/>
        <v>0</v>
      </c>
      <c r="E39" s="19">
        <f t="shared" si="3"/>
        <v>0</v>
      </c>
      <c r="F39" s="19">
        <f t="shared" si="3"/>
        <v>0</v>
      </c>
      <c r="G39" s="19">
        <f t="shared" si="3"/>
        <v>0</v>
      </c>
      <c r="H39" s="19">
        <f t="shared" si="3"/>
        <v>0</v>
      </c>
      <c r="I39" s="19">
        <f t="shared" si="3"/>
        <v>0</v>
      </c>
      <c r="J39" s="19">
        <f t="shared" si="3"/>
        <v>0</v>
      </c>
      <c r="K39" s="19">
        <f t="shared" si="3"/>
        <v>0</v>
      </c>
      <c r="L39" s="19">
        <f t="shared" si="3"/>
        <v>0</v>
      </c>
      <c r="M39" s="19">
        <f t="shared" si="3"/>
        <v>0</v>
      </c>
      <c r="N39" s="19">
        <f t="shared" si="3"/>
        <v>0</v>
      </c>
      <c r="O39" s="19">
        <f t="shared" si="3"/>
        <v>0</v>
      </c>
      <c r="P39" s="19">
        <f t="shared" si="3"/>
        <v>0</v>
      </c>
      <c r="Q39" s="19">
        <f t="shared" si="3"/>
        <v>0</v>
      </c>
      <c r="R39" s="19">
        <f t="shared" si="3"/>
        <v>0</v>
      </c>
      <c r="S39" s="19">
        <f t="shared" si="3"/>
        <v>0</v>
      </c>
      <c r="T39" s="19">
        <f t="shared" si="3"/>
        <v>0</v>
      </c>
      <c r="U39" s="19">
        <f t="shared" si="3"/>
        <v>0</v>
      </c>
      <c r="V39" s="19">
        <f t="shared" si="3"/>
        <v>0</v>
      </c>
      <c r="W39" s="19">
        <f t="shared" si="3"/>
        <v>0</v>
      </c>
      <c r="X39" s="107">
        <f>X16/Y16</f>
        <v>0</v>
      </c>
    </row>
    <row r="40" spans="1:24" x14ac:dyDescent="0.25">
      <c r="A40" s="7" t="s">
        <v>18</v>
      </c>
      <c r="B40" s="19">
        <f>B18/$Y$18</f>
        <v>0</v>
      </c>
      <c r="C40" s="19">
        <f t="shared" ref="C40:W40" si="4">C18/$Y$18</f>
        <v>0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0</v>
      </c>
      <c r="J40" s="19">
        <f t="shared" si="4"/>
        <v>0</v>
      </c>
      <c r="K40" s="19">
        <f t="shared" si="4"/>
        <v>0</v>
      </c>
      <c r="L40" s="19">
        <f t="shared" si="4"/>
        <v>0</v>
      </c>
      <c r="M40" s="19">
        <f t="shared" si="4"/>
        <v>0</v>
      </c>
      <c r="N40" s="19">
        <f t="shared" si="4"/>
        <v>0</v>
      </c>
      <c r="O40" s="19">
        <f t="shared" si="4"/>
        <v>0</v>
      </c>
      <c r="P40" s="19">
        <f t="shared" si="4"/>
        <v>0</v>
      </c>
      <c r="Q40" s="19">
        <f t="shared" si="4"/>
        <v>0</v>
      </c>
      <c r="R40" s="19">
        <f t="shared" si="4"/>
        <v>0</v>
      </c>
      <c r="S40" s="19">
        <f t="shared" si="4"/>
        <v>0</v>
      </c>
      <c r="T40" s="19">
        <f t="shared" si="4"/>
        <v>0</v>
      </c>
      <c r="U40" s="19">
        <f t="shared" si="4"/>
        <v>0</v>
      </c>
      <c r="V40" s="19">
        <f t="shared" si="4"/>
        <v>0</v>
      </c>
      <c r="W40" s="19">
        <f t="shared" si="4"/>
        <v>0</v>
      </c>
      <c r="X40" s="138">
        <f>X18/Y18</f>
        <v>1</v>
      </c>
    </row>
    <row r="41" spans="1:24" x14ac:dyDescent="0.25">
      <c r="A41" s="7" t="s">
        <v>19</v>
      </c>
      <c r="B41" s="19">
        <f>B20/$Y$20</f>
        <v>0.80069930069930073</v>
      </c>
      <c r="C41" s="19">
        <f t="shared" ref="C41:W41" si="5">C20/$Y$20</f>
        <v>0</v>
      </c>
      <c r="D41" s="19">
        <f t="shared" si="5"/>
        <v>0</v>
      </c>
      <c r="E41" s="19">
        <f t="shared" si="5"/>
        <v>0</v>
      </c>
      <c r="F41" s="19">
        <f t="shared" si="5"/>
        <v>0.1993006993006993</v>
      </c>
      <c r="G41" s="19">
        <f t="shared" si="5"/>
        <v>0</v>
      </c>
      <c r="H41" s="19">
        <f t="shared" si="5"/>
        <v>0</v>
      </c>
      <c r="I41" s="19">
        <f t="shared" si="5"/>
        <v>0</v>
      </c>
      <c r="J41" s="19">
        <f t="shared" si="5"/>
        <v>0</v>
      </c>
      <c r="K41" s="19">
        <f t="shared" si="5"/>
        <v>0</v>
      </c>
      <c r="L41" s="19">
        <f t="shared" si="5"/>
        <v>0</v>
      </c>
      <c r="M41" s="19">
        <f t="shared" si="5"/>
        <v>0</v>
      </c>
      <c r="N41" s="19">
        <f t="shared" si="5"/>
        <v>0</v>
      </c>
      <c r="O41" s="19">
        <f t="shared" si="5"/>
        <v>0</v>
      </c>
      <c r="P41" s="19">
        <f t="shared" si="5"/>
        <v>0</v>
      </c>
      <c r="Q41" s="19">
        <f t="shared" si="5"/>
        <v>0</v>
      </c>
      <c r="R41" s="19">
        <f t="shared" si="5"/>
        <v>0</v>
      </c>
      <c r="S41" s="19">
        <f t="shared" si="5"/>
        <v>0</v>
      </c>
      <c r="T41" s="19">
        <f t="shared" si="5"/>
        <v>0</v>
      </c>
      <c r="U41" s="19">
        <f t="shared" si="5"/>
        <v>0</v>
      </c>
      <c r="V41" s="19">
        <f t="shared" si="5"/>
        <v>0</v>
      </c>
      <c r="W41" s="19">
        <f t="shared" si="5"/>
        <v>0</v>
      </c>
      <c r="X41" s="107">
        <f>X20/Y20</f>
        <v>0</v>
      </c>
    </row>
    <row r="42" spans="1:24" x14ac:dyDescent="0.25">
      <c r="A42" s="7" t="s">
        <v>23</v>
      </c>
      <c r="B42" s="19">
        <f>B22/$Y$22</f>
        <v>0</v>
      </c>
      <c r="C42" s="19">
        <f t="shared" ref="C42:W42" si="6">C22/$Y$22</f>
        <v>2.1505376344086023E-2</v>
      </c>
      <c r="D42" s="19">
        <f t="shared" si="6"/>
        <v>0</v>
      </c>
      <c r="E42" s="19">
        <f t="shared" si="6"/>
        <v>0.93701996927803377</v>
      </c>
      <c r="F42" s="19">
        <f t="shared" si="6"/>
        <v>0</v>
      </c>
      <c r="G42" s="19">
        <f t="shared" si="6"/>
        <v>0</v>
      </c>
      <c r="H42" s="19">
        <f t="shared" si="6"/>
        <v>0</v>
      </c>
      <c r="I42" s="19">
        <f t="shared" si="6"/>
        <v>1.0752688172043012E-2</v>
      </c>
      <c r="J42" s="19">
        <f t="shared" si="6"/>
        <v>0</v>
      </c>
      <c r="K42" s="19">
        <f t="shared" si="6"/>
        <v>1.8433179723502304E-2</v>
      </c>
      <c r="L42" s="19">
        <f t="shared" si="6"/>
        <v>0</v>
      </c>
      <c r="M42" s="19">
        <f t="shared" si="6"/>
        <v>1.5360983102918587E-3</v>
      </c>
      <c r="N42" s="19">
        <f t="shared" si="6"/>
        <v>0</v>
      </c>
      <c r="O42" s="19">
        <f t="shared" si="6"/>
        <v>0</v>
      </c>
      <c r="P42" s="19">
        <f t="shared" si="6"/>
        <v>0</v>
      </c>
      <c r="Q42" s="19">
        <f t="shared" si="6"/>
        <v>1.0752688172043012E-2</v>
      </c>
      <c r="R42" s="19">
        <f t="shared" si="6"/>
        <v>0</v>
      </c>
      <c r="S42" s="19">
        <f t="shared" si="6"/>
        <v>0</v>
      </c>
      <c r="T42" s="19">
        <f t="shared" si="6"/>
        <v>0</v>
      </c>
      <c r="U42" s="19">
        <f t="shared" si="6"/>
        <v>0</v>
      </c>
      <c r="V42" s="19">
        <f t="shared" si="6"/>
        <v>0</v>
      </c>
      <c r="W42" s="19">
        <f t="shared" si="6"/>
        <v>0</v>
      </c>
      <c r="X42" s="107">
        <f>X22/Y22</f>
        <v>0</v>
      </c>
    </row>
    <row r="43" spans="1:24" x14ac:dyDescent="0.25">
      <c r="A43" s="7" t="s">
        <v>28</v>
      </c>
      <c r="B43" s="19">
        <f>B25/$Y$25</f>
        <v>0.90368852459016402</v>
      </c>
      <c r="C43" s="19">
        <f t="shared" ref="C43:W43" si="7">C25/$Y$25</f>
        <v>0</v>
      </c>
      <c r="D43" s="19">
        <f t="shared" si="7"/>
        <v>0</v>
      </c>
      <c r="E43" s="19">
        <f t="shared" si="7"/>
        <v>0</v>
      </c>
      <c r="F43" s="19">
        <f t="shared" si="7"/>
        <v>0</v>
      </c>
      <c r="G43" s="19">
        <f t="shared" si="7"/>
        <v>0</v>
      </c>
      <c r="H43" s="19">
        <f t="shared" si="7"/>
        <v>0</v>
      </c>
      <c r="I43" s="19">
        <f t="shared" si="7"/>
        <v>0</v>
      </c>
      <c r="J43" s="19">
        <f t="shared" si="7"/>
        <v>0</v>
      </c>
      <c r="K43" s="19">
        <f t="shared" si="7"/>
        <v>0</v>
      </c>
      <c r="L43" s="19">
        <f t="shared" si="7"/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9.6311475409836061E-2</v>
      </c>
      <c r="Q43" s="19">
        <f t="shared" si="7"/>
        <v>0</v>
      </c>
      <c r="R43" s="19">
        <f t="shared" si="7"/>
        <v>0</v>
      </c>
      <c r="S43" s="19">
        <f t="shared" si="7"/>
        <v>0</v>
      </c>
      <c r="T43" s="19">
        <f t="shared" si="7"/>
        <v>0</v>
      </c>
      <c r="U43" s="19">
        <f t="shared" si="7"/>
        <v>0</v>
      </c>
      <c r="V43" s="19">
        <f t="shared" si="7"/>
        <v>0</v>
      </c>
      <c r="W43" s="19">
        <f t="shared" si="7"/>
        <v>0</v>
      </c>
      <c r="X43" s="107">
        <f>X25/Y25</f>
        <v>0</v>
      </c>
    </row>
    <row r="44" spans="1:24" x14ac:dyDescent="0.25">
      <c r="A44" s="7" t="s">
        <v>29</v>
      </c>
      <c r="B44" s="19">
        <f>B27/$Y$27</f>
        <v>0</v>
      </c>
      <c r="C44" s="19">
        <f t="shared" ref="C44:W44" si="8">C27/$Y$27</f>
        <v>0</v>
      </c>
      <c r="D44" s="19">
        <f t="shared" si="8"/>
        <v>0</v>
      </c>
      <c r="E44" s="19">
        <f t="shared" si="8"/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9">
        <f t="shared" si="8"/>
        <v>0</v>
      </c>
      <c r="J44" s="19">
        <f t="shared" si="8"/>
        <v>0</v>
      </c>
      <c r="K44" s="19">
        <f t="shared" si="8"/>
        <v>0</v>
      </c>
      <c r="L44" s="19">
        <f t="shared" si="8"/>
        <v>0</v>
      </c>
      <c r="M44" s="19">
        <f t="shared" si="8"/>
        <v>0</v>
      </c>
      <c r="N44" s="19">
        <f t="shared" si="8"/>
        <v>0</v>
      </c>
      <c r="O44" s="19">
        <f t="shared" si="8"/>
        <v>0</v>
      </c>
      <c r="P44" s="19">
        <f t="shared" si="8"/>
        <v>0</v>
      </c>
      <c r="Q44" s="19">
        <f t="shared" si="8"/>
        <v>0</v>
      </c>
      <c r="R44" s="19">
        <f t="shared" si="8"/>
        <v>0</v>
      </c>
      <c r="S44" s="19">
        <f t="shared" si="8"/>
        <v>0</v>
      </c>
      <c r="T44" s="19">
        <f t="shared" si="8"/>
        <v>0</v>
      </c>
      <c r="U44" s="19">
        <f t="shared" si="8"/>
        <v>0</v>
      </c>
      <c r="V44" s="19">
        <f t="shared" si="8"/>
        <v>0</v>
      </c>
      <c r="W44" s="19">
        <f t="shared" si="8"/>
        <v>0</v>
      </c>
      <c r="X44" s="138">
        <f>X27/Y27</f>
        <v>1</v>
      </c>
    </row>
    <row r="45" spans="1:24" x14ac:dyDescent="0.25">
      <c r="A45" s="7" t="s">
        <v>32</v>
      </c>
      <c r="B45" s="19">
        <f>B30/$Y$30</f>
        <v>9.444754818558114E-2</v>
      </c>
      <c r="C45" s="19">
        <f t="shared" ref="C45:W45" si="9">C30/$Y$30</f>
        <v>7.8258716574824125E-2</v>
      </c>
      <c r="D45" s="19">
        <f t="shared" si="9"/>
        <v>5.5232484319053289E-2</v>
      </c>
      <c r="E45" s="19">
        <f t="shared" si="9"/>
        <v>1.1909901216384366E-2</v>
      </c>
      <c r="F45" s="19">
        <f t="shared" si="9"/>
        <v>4.1713222783717203E-2</v>
      </c>
      <c r="G45" s="19">
        <f t="shared" si="9"/>
        <v>4.3005155031869767E-2</v>
      </c>
      <c r="H45" s="19">
        <f t="shared" si="9"/>
        <v>4.3322583102668927E-2</v>
      </c>
      <c r="I45" s="19">
        <f t="shared" si="9"/>
        <v>3.5647172350745319E-2</v>
      </c>
      <c r="J45" s="19">
        <f t="shared" si="9"/>
        <v>1.2668554305594349E-2</v>
      </c>
      <c r="K45" s="19">
        <f t="shared" si="9"/>
        <v>2.5086340435257367E-2</v>
      </c>
      <c r="L45" s="19">
        <f t="shared" si="9"/>
        <v>1.1900378374260388E-2</v>
      </c>
      <c r="M45" s="19">
        <f t="shared" si="9"/>
        <v>5.8063942710581774E-2</v>
      </c>
      <c r="N45" s="19">
        <f t="shared" si="9"/>
        <v>4.9896518448919465E-2</v>
      </c>
      <c r="O45" s="19">
        <f t="shared" si="9"/>
        <v>4.9785418624139759E-2</v>
      </c>
      <c r="P45" s="19">
        <f t="shared" si="9"/>
        <v>6.2945986439472801E-2</v>
      </c>
      <c r="Q45" s="19">
        <f t="shared" si="9"/>
        <v>9.4472942431245058E-2</v>
      </c>
      <c r="R45" s="19">
        <f t="shared" si="9"/>
        <v>6.3701465247974792E-2</v>
      </c>
      <c r="S45" s="19">
        <f t="shared" si="9"/>
        <v>5.1118616521496213E-2</v>
      </c>
      <c r="T45" s="19">
        <f t="shared" si="9"/>
        <v>2.5016506259681551E-2</v>
      </c>
      <c r="U45" s="19">
        <f t="shared" si="9"/>
        <v>5.9851062749181026E-2</v>
      </c>
      <c r="V45" s="19">
        <f t="shared" si="9"/>
        <v>1.8693339089362347E-2</v>
      </c>
      <c r="W45" s="19">
        <f t="shared" si="9"/>
        <v>2.9266868127682264E-3</v>
      </c>
      <c r="X45" s="138">
        <f>X30/Y30</f>
        <v>1.0335457985220549E-2</v>
      </c>
    </row>
    <row r="46" spans="1:24" x14ac:dyDescent="0.25">
      <c r="A46" s="7" t="s">
        <v>33</v>
      </c>
      <c r="B46" s="19">
        <f>B32/$Y$32</f>
        <v>0.22542781107153154</v>
      </c>
      <c r="C46" s="19">
        <f t="shared" ref="C46:W46" si="10">C32/$Y$32</f>
        <v>7.0631629612696048E-2</v>
      </c>
      <c r="D46" s="19">
        <f t="shared" si="10"/>
        <v>3.7980922727303412E-2</v>
      </c>
      <c r="E46" s="19">
        <f t="shared" si="10"/>
        <v>3.7656827084364214E-2</v>
      </c>
      <c r="F46" s="19">
        <f t="shared" si="10"/>
        <v>3.738578281154898E-2</v>
      </c>
      <c r="G46" s="19">
        <f t="shared" si="10"/>
        <v>6.49850346907732E-2</v>
      </c>
      <c r="H46" s="19">
        <f t="shared" si="10"/>
        <v>3.5816426826245182E-2</v>
      </c>
      <c r="I46" s="19">
        <f t="shared" si="10"/>
        <v>3.3676045184334216E-2</v>
      </c>
      <c r="J46" s="19">
        <f t="shared" si="10"/>
        <v>1.8459947662411946E-2</v>
      </c>
      <c r="K46" s="19">
        <f t="shared" si="10"/>
        <v>2.9157033020137328E-2</v>
      </c>
      <c r="L46" s="19">
        <f t="shared" si="10"/>
        <v>1.6120864525127537E-2</v>
      </c>
      <c r="M46" s="19">
        <f t="shared" si="10"/>
        <v>5.4921672063437857E-2</v>
      </c>
      <c r="N46" s="19">
        <f t="shared" si="10"/>
        <v>2.802366284021602E-2</v>
      </c>
      <c r="O46" s="19">
        <f t="shared" si="10"/>
        <v>3.3538111622011882E-2</v>
      </c>
      <c r="P46" s="19">
        <f t="shared" si="10"/>
        <v>3.978563388188449E-2</v>
      </c>
      <c r="Q46" s="19">
        <f t="shared" si="10"/>
        <v>4.8414680375140698E-2</v>
      </c>
      <c r="R46" s="19">
        <f t="shared" si="10"/>
        <v>5.0374687358630148E-2</v>
      </c>
      <c r="S46" s="19">
        <f t="shared" si="10"/>
        <v>4.2268438003686584E-2</v>
      </c>
      <c r="T46" s="19">
        <f t="shared" si="10"/>
        <v>2.0016764232959172E-2</v>
      </c>
      <c r="U46" s="19">
        <f t="shared" si="10"/>
        <v>3.2822400410521139E-2</v>
      </c>
      <c r="V46" s="19">
        <f t="shared" si="10"/>
        <v>2.668966202418949E-2</v>
      </c>
      <c r="W46" s="19">
        <f t="shared" si="10"/>
        <v>1.0714447624311415E-2</v>
      </c>
      <c r="X46" s="138">
        <f>X32/Y32</f>
        <v>5.1315143465373355E-3</v>
      </c>
    </row>
  </sheetData>
  <hyperlinks>
    <hyperlink ref="E1" r:id="rId1" location="INDICE!A1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workbookViewId="0"/>
  </sheetViews>
  <sheetFormatPr baseColWidth="10" defaultRowHeight="15" x14ac:dyDescent="0.25"/>
  <cols>
    <col min="1" max="1" width="23.7109375" customWidth="1"/>
    <col min="24" max="24" width="17.5703125" customWidth="1"/>
    <col min="25" max="25" width="17.28515625" customWidth="1"/>
    <col min="26" max="26" width="15.42578125" customWidth="1"/>
  </cols>
  <sheetData>
    <row r="1" spans="1:26" x14ac:dyDescent="0.25">
      <c r="D1" s="30" t="s">
        <v>51</v>
      </c>
      <c r="E1" s="182" t="s">
        <v>52</v>
      </c>
      <c r="F1" s="30" t="s">
        <v>156</v>
      </c>
      <c r="G1" t="s">
        <v>189</v>
      </c>
    </row>
    <row r="2" spans="1:26" ht="18.75" x14ac:dyDescent="0.3">
      <c r="A2" s="211" t="s">
        <v>143</v>
      </c>
      <c r="B2" s="211"/>
      <c r="C2" s="36"/>
      <c r="D2" s="36"/>
      <c r="E2" s="36"/>
      <c r="F2" s="36"/>
      <c r="G2" s="36"/>
      <c r="H2" s="36"/>
      <c r="K2" s="30"/>
      <c r="L2" s="31"/>
    </row>
    <row r="3" spans="1:26" ht="35.25" customHeight="1" x14ac:dyDescent="0.25">
      <c r="A3" s="32" t="s">
        <v>0</v>
      </c>
      <c r="B3" s="33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6" x14ac:dyDescent="0.25">
      <c r="A4" s="14" t="s">
        <v>4</v>
      </c>
      <c r="B4" s="40">
        <v>516.53</v>
      </c>
      <c r="C4" s="40">
        <v>129.77999999999997</v>
      </c>
      <c r="D4" s="40">
        <v>109.99000000000001</v>
      </c>
      <c r="E4" s="40">
        <v>134.87</v>
      </c>
      <c r="F4" s="40">
        <v>129.03</v>
      </c>
      <c r="G4" s="40">
        <v>326.94</v>
      </c>
      <c r="H4" s="40">
        <v>229.51</v>
      </c>
      <c r="I4" s="40">
        <v>96.81</v>
      </c>
      <c r="J4" s="40">
        <v>189.45</v>
      </c>
      <c r="K4" s="40">
        <v>220.95</v>
      </c>
      <c r="L4" s="40">
        <v>118.68</v>
      </c>
      <c r="M4" s="40">
        <v>296.20999999999998</v>
      </c>
      <c r="N4" s="40">
        <v>121.9</v>
      </c>
      <c r="O4" s="40">
        <v>275.72999999999996</v>
      </c>
      <c r="P4" s="40">
        <v>130.78</v>
      </c>
      <c r="Q4" s="40">
        <v>252.76</v>
      </c>
      <c r="R4" s="40">
        <v>574.59</v>
      </c>
      <c r="S4" s="40">
        <v>295.63</v>
      </c>
      <c r="T4" s="40">
        <v>320.87</v>
      </c>
      <c r="U4" s="40">
        <v>214.39999999999998</v>
      </c>
      <c r="V4" s="40">
        <v>169.36</v>
      </c>
      <c r="W4" s="40">
        <v>60.62</v>
      </c>
      <c r="X4" s="40">
        <v>8.0499999999999989</v>
      </c>
      <c r="Y4" s="40">
        <v>4923.4400000000005</v>
      </c>
      <c r="Z4" s="66">
        <f>Y4/$Y$25</f>
        <v>0.23850212927568784</v>
      </c>
    </row>
    <row r="5" spans="1:26" x14ac:dyDescent="0.25">
      <c r="A5" s="6" t="s">
        <v>5</v>
      </c>
      <c r="B5" s="10">
        <v>16.619999999999997</v>
      </c>
      <c r="C5" s="10">
        <v>20.080000000000002</v>
      </c>
      <c r="D5" s="10">
        <v>53.49</v>
      </c>
      <c r="E5" s="10"/>
      <c r="F5" s="10"/>
      <c r="G5" s="10">
        <v>30.34</v>
      </c>
      <c r="H5" s="10">
        <v>2.2400000000000002</v>
      </c>
      <c r="I5" s="10"/>
      <c r="J5" s="10">
        <v>19.21</v>
      </c>
      <c r="K5" s="10"/>
      <c r="L5" s="10">
        <v>12.459999999999999</v>
      </c>
      <c r="M5" s="10">
        <v>87.28</v>
      </c>
      <c r="N5" s="10">
        <v>6.54</v>
      </c>
      <c r="O5" s="10">
        <v>3.7</v>
      </c>
      <c r="P5" s="10">
        <v>0.3</v>
      </c>
      <c r="Q5" s="10">
        <v>0.49</v>
      </c>
      <c r="R5" s="10">
        <v>20.990000000000002</v>
      </c>
      <c r="S5" s="10">
        <v>9.0500000000000007</v>
      </c>
      <c r="T5" s="10">
        <v>9.6</v>
      </c>
      <c r="U5" s="10">
        <v>3.2199999999999998</v>
      </c>
      <c r="V5" s="10"/>
      <c r="W5" s="10">
        <v>0.18</v>
      </c>
      <c r="X5" s="10">
        <v>8.01</v>
      </c>
      <c r="Y5" s="10">
        <v>303.8</v>
      </c>
      <c r="Z5" s="19">
        <f t="shared" ref="Z5:Z25" si="0">Y5/$Y$25</f>
        <v>1.4716731974788757E-2</v>
      </c>
    </row>
    <row r="6" spans="1:26" x14ac:dyDescent="0.25">
      <c r="A6" s="6" t="s">
        <v>6</v>
      </c>
      <c r="B6" s="10">
        <v>9.93</v>
      </c>
      <c r="C6" s="10">
        <v>1.18</v>
      </c>
      <c r="D6" s="10"/>
      <c r="E6" s="10"/>
      <c r="F6" s="10">
        <v>0.93</v>
      </c>
      <c r="G6" s="10">
        <v>2.4500000000000002</v>
      </c>
      <c r="H6" s="10"/>
      <c r="I6" s="10"/>
      <c r="J6" s="10"/>
      <c r="K6" s="10"/>
      <c r="L6" s="10"/>
      <c r="M6" s="10">
        <v>0.03</v>
      </c>
      <c r="N6" s="10"/>
      <c r="O6" s="10">
        <v>4.4800000000000004</v>
      </c>
      <c r="P6" s="10"/>
      <c r="Q6" s="10">
        <v>6.9</v>
      </c>
      <c r="R6" s="10">
        <v>2.6100000000000003</v>
      </c>
      <c r="S6" s="10"/>
      <c r="T6" s="10"/>
      <c r="U6" s="10"/>
      <c r="V6" s="10"/>
      <c r="W6" s="10"/>
      <c r="X6" s="10"/>
      <c r="Y6" s="10">
        <v>28.509999999999998</v>
      </c>
      <c r="Z6" s="19">
        <f t="shared" si="0"/>
        <v>1.3810863350929145E-3</v>
      </c>
    </row>
    <row r="7" spans="1:26" x14ac:dyDescent="0.25">
      <c r="A7" s="6" t="s">
        <v>7</v>
      </c>
      <c r="B7" s="10">
        <v>7.0000000000000007E-2</v>
      </c>
      <c r="C7" s="10">
        <v>0.5</v>
      </c>
      <c r="D7" s="10"/>
      <c r="E7" s="10">
        <v>20.74</v>
      </c>
      <c r="F7" s="10">
        <v>22.19</v>
      </c>
      <c r="G7" s="10"/>
      <c r="H7" s="10"/>
      <c r="I7" s="10"/>
      <c r="J7" s="10">
        <v>33.68</v>
      </c>
      <c r="K7" s="10"/>
      <c r="L7" s="10"/>
      <c r="M7" s="10"/>
      <c r="N7" s="10">
        <v>2.17</v>
      </c>
      <c r="O7" s="10">
        <v>1.22</v>
      </c>
      <c r="P7" s="10"/>
      <c r="Q7" s="10">
        <v>0.05</v>
      </c>
      <c r="R7" s="10">
        <v>8.75</v>
      </c>
      <c r="S7" s="10"/>
      <c r="T7" s="10"/>
      <c r="U7" s="10">
        <v>20.62</v>
      </c>
      <c r="V7" s="10"/>
      <c r="W7" s="10"/>
      <c r="X7" s="10"/>
      <c r="Y7" s="10">
        <v>109.99000000000001</v>
      </c>
      <c r="Z7" s="19">
        <f t="shared" si="0"/>
        <v>5.3281545421560751E-3</v>
      </c>
    </row>
    <row r="8" spans="1:26" x14ac:dyDescent="0.25">
      <c r="A8" s="6" t="s">
        <v>8</v>
      </c>
      <c r="B8" s="10">
        <v>3.81</v>
      </c>
      <c r="C8" s="10">
        <v>0.28999999999999998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4.1000000000000005</v>
      </c>
      <c r="Z8" s="19">
        <f t="shared" si="0"/>
        <v>1.9861290683552966E-4</v>
      </c>
    </row>
    <row r="9" spans="1:26" x14ac:dyDescent="0.25">
      <c r="A9" s="6" t="s">
        <v>9</v>
      </c>
      <c r="B9" s="10">
        <v>403.28</v>
      </c>
      <c r="C9" s="10">
        <v>103.32</v>
      </c>
      <c r="D9" s="10">
        <v>56.5</v>
      </c>
      <c r="E9" s="10">
        <v>107.72</v>
      </c>
      <c r="F9" s="10">
        <v>50.97</v>
      </c>
      <c r="G9" s="10">
        <v>69.84</v>
      </c>
      <c r="H9" s="10">
        <v>145.47999999999999</v>
      </c>
      <c r="I9" s="10">
        <v>37.96</v>
      </c>
      <c r="J9" s="10">
        <v>61.25</v>
      </c>
      <c r="K9" s="10">
        <v>168.82</v>
      </c>
      <c r="L9" s="10">
        <v>90.700000000000017</v>
      </c>
      <c r="M9" s="10">
        <v>199.51999999999998</v>
      </c>
      <c r="N9" s="10">
        <v>69.180000000000007</v>
      </c>
      <c r="O9" s="10">
        <v>215.96999999999997</v>
      </c>
      <c r="P9" s="10">
        <v>117.80000000000001</v>
      </c>
      <c r="Q9" s="10">
        <v>146.82</v>
      </c>
      <c r="R9" s="10">
        <v>227.93</v>
      </c>
      <c r="S9" s="10">
        <v>131.43</v>
      </c>
      <c r="T9" s="10">
        <v>78.48</v>
      </c>
      <c r="U9" s="10">
        <v>77.95</v>
      </c>
      <c r="V9" s="10">
        <v>103.82</v>
      </c>
      <c r="W9" s="10">
        <v>9.14</v>
      </c>
      <c r="X9" s="10"/>
      <c r="Y9" s="10">
        <v>2673.88</v>
      </c>
      <c r="Z9" s="19">
        <f t="shared" si="0"/>
        <v>0.12952855593399659</v>
      </c>
    </row>
    <row r="10" spans="1:26" x14ac:dyDescent="0.25">
      <c r="A10" s="6" t="s">
        <v>11</v>
      </c>
      <c r="B10" s="10">
        <v>80.78</v>
      </c>
      <c r="C10" s="10">
        <v>0.16</v>
      </c>
      <c r="D10" s="10"/>
      <c r="E10" s="10"/>
      <c r="F10" s="10"/>
      <c r="G10" s="10"/>
      <c r="H10" s="10">
        <v>4.09</v>
      </c>
      <c r="I10" s="10"/>
      <c r="J10" s="10"/>
      <c r="K10" s="10">
        <v>17.28</v>
      </c>
      <c r="L10" s="10"/>
      <c r="M10" s="10">
        <v>7.33</v>
      </c>
      <c r="N10" s="10">
        <v>0.13</v>
      </c>
      <c r="O10" s="10">
        <v>0.44999999999999996</v>
      </c>
      <c r="P10" s="10">
        <v>3.3</v>
      </c>
      <c r="Q10" s="10">
        <v>3.85</v>
      </c>
      <c r="R10" s="10"/>
      <c r="S10" s="10"/>
      <c r="T10" s="10">
        <v>6.85</v>
      </c>
      <c r="U10" s="10">
        <v>2.44</v>
      </c>
      <c r="V10" s="10">
        <v>0.81</v>
      </c>
      <c r="W10" s="10"/>
      <c r="X10" s="10"/>
      <c r="Y10" s="10">
        <v>127.47000000000001</v>
      </c>
      <c r="Z10" s="19">
        <f t="shared" si="0"/>
        <v>6.1749237156890156E-3</v>
      </c>
    </row>
    <row r="11" spans="1:26" x14ac:dyDescent="0.25">
      <c r="A11" s="6" t="s">
        <v>12</v>
      </c>
      <c r="B11" s="10">
        <v>2.04</v>
      </c>
      <c r="C11" s="10">
        <v>4.25</v>
      </c>
      <c r="D11" s="10"/>
      <c r="E11" s="10">
        <v>6.41</v>
      </c>
      <c r="F11" s="10">
        <v>54.94</v>
      </c>
      <c r="G11" s="10">
        <v>224.31</v>
      </c>
      <c r="H11" s="10">
        <v>77.699999999999989</v>
      </c>
      <c r="I11" s="10">
        <v>58.849999999999994</v>
      </c>
      <c r="J11" s="10">
        <v>75.31</v>
      </c>
      <c r="K11" s="10">
        <v>34.85</v>
      </c>
      <c r="L11" s="10">
        <v>15.520000000000001</v>
      </c>
      <c r="M11" s="10">
        <v>2.0499999999999998</v>
      </c>
      <c r="N11" s="10">
        <v>43.879999999999995</v>
      </c>
      <c r="O11" s="10">
        <v>49.91</v>
      </c>
      <c r="P11" s="10">
        <v>9.3800000000000008</v>
      </c>
      <c r="Q11" s="10">
        <v>94.65</v>
      </c>
      <c r="R11" s="10">
        <v>314.31</v>
      </c>
      <c r="S11" s="10">
        <v>155.15</v>
      </c>
      <c r="T11" s="10">
        <v>225.94</v>
      </c>
      <c r="U11" s="10">
        <v>110.16999999999999</v>
      </c>
      <c r="V11" s="10">
        <v>64.73</v>
      </c>
      <c r="W11" s="10">
        <v>51.3</v>
      </c>
      <c r="X11" s="10">
        <v>0.04</v>
      </c>
      <c r="Y11" s="10">
        <v>1675.69</v>
      </c>
      <c r="Z11" s="19">
        <f t="shared" si="0"/>
        <v>8.1174063867128943E-2</v>
      </c>
    </row>
    <row r="12" spans="1:26" x14ac:dyDescent="0.25">
      <c r="A12" s="14" t="s">
        <v>14</v>
      </c>
      <c r="B12" s="40">
        <f>SUM(B13:B15)</f>
        <v>4880.1000000000004</v>
      </c>
      <c r="C12" s="40">
        <f t="shared" ref="C12:Y12" si="1">SUM(C13:C15)</f>
        <v>1168.6599999999999</v>
      </c>
      <c r="D12" s="40">
        <f t="shared" si="1"/>
        <v>215.32</v>
      </c>
      <c r="E12" s="40">
        <f t="shared" si="1"/>
        <v>280.94</v>
      </c>
      <c r="F12" s="40">
        <f t="shared" si="1"/>
        <v>332.78</v>
      </c>
      <c r="G12" s="40">
        <f t="shared" si="1"/>
        <v>721.6099999999999</v>
      </c>
      <c r="H12" s="40">
        <f t="shared" si="1"/>
        <v>597.27</v>
      </c>
      <c r="I12" s="40">
        <f t="shared" si="1"/>
        <v>230.93999999999997</v>
      </c>
      <c r="J12" s="40">
        <f t="shared" si="1"/>
        <v>249.52</v>
      </c>
      <c r="K12" s="40">
        <f t="shared" si="1"/>
        <v>277.82000000000005</v>
      </c>
      <c r="L12" s="40">
        <f t="shared" si="1"/>
        <v>299.99</v>
      </c>
      <c r="M12" s="40">
        <f t="shared" si="1"/>
        <v>510.81</v>
      </c>
      <c r="N12" s="40">
        <f t="shared" si="1"/>
        <v>299.89</v>
      </c>
      <c r="O12" s="40">
        <f t="shared" si="1"/>
        <v>431.41999999999996</v>
      </c>
      <c r="P12" s="40">
        <f t="shared" si="1"/>
        <v>433.48999999999995</v>
      </c>
      <c r="Q12" s="40">
        <f t="shared" si="1"/>
        <v>556.17999999999995</v>
      </c>
      <c r="R12" s="40">
        <f t="shared" si="1"/>
        <v>669.09999999999991</v>
      </c>
      <c r="S12" s="40">
        <f t="shared" si="1"/>
        <v>435.22</v>
      </c>
      <c r="T12" s="40">
        <f t="shared" si="1"/>
        <v>517.27</v>
      </c>
      <c r="U12" s="40">
        <f t="shared" si="1"/>
        <v>580.8900000000001</v>
      </c>
      <c r="V12" s="40">
        <f t="shared" si="1"/>
        <v>341.85</v>
      </c>
      <c r="W12" s="40">
        <f t="shared" si="1"/>
        <v>217.61</v>
      </c>
      <c r="X12" s="40">
        <f t="shared" si="1"/>
        <v>35.81</v>
      </c>
      <c r="Y12" s="40">
        <f t="shared" si="1"/>
        <v>14284.490000000002</v>
      </c>
      <c r="Z12" s="66">
        <f t="shared" si="0"/>
        <v>0.69197172721050126</v>
      </c>
    </row>
    <row r="13" spans="1:26" x14ac:dyDescent="0.25">
      <c r="A13" s="6" t="s">
        <v>15</v>
      </c>
      <c r="B13" s="10">
        <v>621.78</v>
      </c>
      <c r="C13" s="10">
        <v>167.14999999999998</v>
      </c>
      <c r="D13" s="10">
        <v>25.25</v>
      </c>
      <c r="E13" s="10">
        <v>40.909999999999997</v>
      </c>
      <c r="F13" s="10">
        <v>39.56</v>
      </c>
      <c r="G13" s="10">
        <v>271.01</v>
      </c>
      <c r="H13" s="10">
        <v>181.48</v>
      </c>
      <c r="I13" s="10">
        <v>58.47</v>
      </c>
      <c r="J13" s="10">
        <v>21.019999999999996</v>
      </c>
      <c r="K13" s="10">
        <v>47.26</v>
      </c>
      <c r="L13" s="10">
        <v>60.179999999999993</v>
      </c>
      <c r="M13" s="10">
        <v>208.97</v>
      </c>
      <c r="N13" s="10">
        <v>86.490000000000009</v>
      </c>
      <c r="O13" s="10">
        <v>87.88</v>
      </c>
      <c r="P13" s="10">
        <v>85.14</v>
      </c>
      <c r="Q13" s="10">
        <v>128.35999999999999</v>
      </c>
      <c r="R13" s="10">
        <v>191.73999999999998</v>
      </c>
      <c r="S13" s="10">
        <v>137.69</v>
      </c>
      <c r="T13" s="10">
        <v>109.28999999999999</v>
      </c>
      <c r="U13" s="10">
        <v>104.47999999999999</v>
      </c>
      <c r="V13" s="10">
        <v>56.160000000000004</v>
      </c>
      <c r="W13" s="10">
        <v>5.0299999999999994</v>
      </c>
      <c r="X13" s="10">
        <v>0.99</v>
      </c>
      <c r="Y13" s="10">
        <v>2736.2899999999995</v>
      </c>
      <c r="Z13" s="19">
        <f t="shared" si="0"/>
        <v>0.13255183191341252</v>
      </c>
    </row>
    <row r="14" spans="1:26" x14ac:dyDescent="0.25">
      <c r="A14" s="6" t="s">
        <v>16</v>
      </c>
      <c r="B14" s="10">
        <v>1072.54</v>
      </c>
      <c r="C14" s="10">
        <v>209.96</v>
      </c>
      <c r="D14" s="10">
        <v>50.989999999999995</v>
      </c>
      <c r="E14" s="10">
        <v>49.45</v>
      </c>
      <c r="F14" s="10">
        <v>66.009999999999991</v>
      </c>
      <c r="G14" s="10">
        <v>142.78</v>
      </c>
      <c r="H14" s="10">
        <v>87.36</v>
      </c>
      <c r="I14" s="10">
        <v>34.380000000000003</v>
      </c>
      <c r="J14" s="10">
        <v>46.2</v>
      </c>
      <c r="K14" s="10">
        <v>48.92</v>
      </c>
      <c r="L14" s="10">
        <v>77.069999999999993</v>
      </c>
      <c r="M14" s="10">
        <v>63.940000000000012</v>
      </c>
      <c r="N14" s="10">
        <v>24.009999999999998</v>
      </c>
      <c r="O14" s="10">
        <v>66.099999999999994</v>
      </c>
      <c r="P14" s="10">
        <v>64.88</v>
      </c>
      <c r="Q14" s="10">
        <v>101.24000000000001</v>
      </c>
      <c r="R14" s="10">
        <v>103.89000000000001</v>
      </c>
      <c r="S14" s="10">
        <v>53.519999999999996</v>
      </c>
      <c r="T14" s="10">
        <v>136.74</v>
      </c>
      <c r="U14" s="10">
        <v>158.76999999999998</v>
      </c>
      <c r="V14" s="10">
        <v>65.87</v>
      </c>
      <c r="W14" s="10">
        <v>66.7</v>
      </c>
      <c r="X14" s="10">
        <v>6.43</v>
      </c>
      <c r="Y14" s="10">
        <v>2797.7499999999991</v>
      </c>
      <c r="Z14" s="19">
        <f t="shared" si="0"/>
        <v>0.13552908782904949</v>
      </c>
    </row>
    <row r="15" spans="1:26" x14ac:dyDescent="0.25">
      <c r="A15" s="6" t="s">
        <v>17</v>
      </c>
      <c r="B15" s="10">
        <v>3185.78</v>
      </c>
      <c r="C15" s="10">
        <v>791.55</v>
      </c>
      <c r="D15" s="10">
        <v>139.07999999999998</v>
      </c>
      <c r="E15" s="10">
        <v>190.57999999999998</v>
      </c>
      <c r="F15" s="10">
        <v>227.20999999999998</v>
      </c>
      <c r="G15" s="10">
        <v>307.82</v>
      </c>
      <c r="H15" s="10">
        <v>328.42999999999995</v>
      </c>
      <c r="I15" s="10">
        <v>138.08999999999997</v>
      </c>
      <c r="J15" s="10">
        <v>182.3</v>
      </c>
      <c r="K15" s="10">
        <v>181.64000000000001</v>
      </c>
      <c r="L15" s="10">
        <v>162.73999999999998</v>
      </c>
      <c r="M15" s="10">
        <v>237.89999999999998</v>
      </c>
      <c r="N15" s="10">
        <v>189.39</v>
      </c>
      <c r="O15" s="10">
        <v>277.44</v>
      </c>
      <c r="P15" s="10">
        <v>283.46999999999997</v>
      </c>
      <c r="Q15" s="10">
        <v>326.58</v>
      </c>
      <c r="R15" s="10">
        <v>373.46999999999997</v>
      </c>
      <c r="S15" s="10">
        <v>244.01000000000002</v>
      </c>
      <c r="T15" s="10">
        <v>271.24</v>
      </c>
      <c r="U15" s="10">
        <v>317.64000000000004</v>
      </c>
      <c r="V15" s="10">
        <v>219.82</v>
      </c>
      <c r="W15" s="10">
        <v>145.88000000000002</v>
      </c>
      <c r="X15" s="10">
        <v>28.39</v>
      </c>
      <c r="Y15" s="10">
        <v>8750.4500000000025</v>
      </c>
      <c r="Z15" s="19">
        <f t="shared" si="0"/>
        <v>0.4238908074680392</v>
      </c>
    </row>
    <row r="16" spans="1:26" x14ac:dyDescent="0.25">
      <c r="A16" s="14" t="s">
        <v>19</v>
      </c>
      <c r="B16" s="40">
        <v>72.48</v>
      </c>
      <c r="C16" s="40">
        <v>27.68</v>
      </c>
      <c r="D16" s="40">
        <v>2.95</v>
      </c>
      <c r="E16" s="40">
        <v>1.32</v>
      </c>
      <c r="F16" s="40">
        <v>4.84</v>
      </c>
      <c r="G16" s="40">
        <v>2.38</v>
      </c>
      <c r="H16" s="40">
        <v>3.83</v>
      </c>
      <c r="I16" s="40">
        <v>27.87</v>
      </c>
      <c r="J16" s="40">
        <v>0.34</v>
      </c>
      <c r="K16" s="40">
        <v>4.83</v>
      </c>
      <c r="L16" s="40">
        <v>1.06</v>
      </c>
      <c r="M16" s="40">
        <v>21.06</v>
      </c>
      <c r="N16" s="40">
        <v>4.4400000000000004</v>
      </c>
      <c r="O16" s="40">
        <v>1.3</v>
      </c>
      <c r="P16" s="40">
        <v>1.48</v>
      </c>
      <c r="Q16" s="40">
        <v>1.6600000000000001</v>
      </c>
      <c r="R16" s="40">
        <v>0.15</v>
      </c>
      <c r="S16" s="40">
        <v>1.5499999999999998</v>
      </c>
      <c r="T16" s="40">
        <v>15.860000000000001</v>
      </c>
      <c r="U16" s="40">
        <v>9.7999999999999972</v>
      </c>
      <c r="V16" s="40">
        <v>18.340000000000003</v>
      </c>
      <c r="W16" s="40">
        <v>14.200000000000001</v>
      </c>
      <c r="X16" s="40"/>
      <c r="Y16" s="40">
        <v>239.42000000000004</v>
      </c>
      <c r="Z16" s="66">
        <f t="shared" si="0"/>
        <v>1.1598024915746954E-2</v>
      </c>
    </row>
    <row r="17" spans="1:26" x14ac:dyDescent="0.25">
      <c r="A17" s="6" t="s">
        <v>22</v>
      </c>
      <c r="B17" s="10">
        <v>72.48</v>
      </c>
      <c r="C17" s="10">
        <v>27.68</v>
      </c>
      <c r="D17" s="10">
        <v>2.95</v>
      </c>
      <c r="E17" s="10">
        <v>1.32</v>
      </c>
      <c r="F17" s="10">
        <v>4.84</v>
      </c>
      <c r="G17" s="10">
        <v>2.38</v>
      </c>
      <c r="H17" s="10">
        <v>3.83</v>
      </c>
      <c r="I17" s="10">
        <v>27.87</v>
      </c>
      <c r="J17" s="10">
        <v>0.34</v>
      </c>
      <c r="K17" s="10">
        <v>4.83</v>
      </c>
      <c r="L17" s="10">
        <v>1.06</v>
      </c>
      <c r="M17" s="10">
        <v>21.06</v>
      </c>
      <c r="N17" s="10">
        <v>4.4400000000000004</v>
      </c>
      <c r="O17" s="10">
        <v>1.3</v>
      </c>
      <c r="P17" s="10">
        <v>1.48</v>
      </c>
      <c r="Q17" s="10">
        <v>1.6600000000000001</v>
      </c>
      <c r="R17" s="10">
        <v>0.15</v>
      </c>
      <c r="S17" s="10">
        <v>1.5499999999999998</v>
      </c>
      <c r="T17" s="10">
        <v>15.860000000000001</v>
      </c>
      <c r="U17" s="10">
        <v>9.7999999999999972</v>
      </c>
      <c r="V17" s="10">
        <v>18.340000000000003</v>
      </c>
      <c r="W17" s="10">
        <v>14.200000000000001</v>
      </c>
      <c r="X17" s="10"/>
      <c r="Y17" s="10">
        <v>239.42000000000004</v>
      </c>
      <c r="Z17" s="19">
        <f t="shared" si="0"/>
        <v>1.1598024915746954E-2</v>
      </c>
    </row>
    <row r="18" spans="1:26" x14ac:dyDescent="0.25">
      <c r="A18" s="14" t="s">
        <v>23</v>
      </c>
      <c r="B18" s="40">
        <v>0.70000000000000007</v>
      </c>
      <c r="C18" s="40"/>
      <c r="D18" s="40"/>
      <c r="E18" s="40"/>
      <c r="F18" s="40"/>
      <c r="G18" s="40">
        <v>0.24</v>
      </c>
      <c r="H18" s="40"/>
      <c r="I18" s="40"/>
      <c r="J18" s="40"/>
      <c r="K18" s="40"/>
      <c r="L18" s="40"/>
      <c r="M18" s="40">
        <v>0.06</v>
      </c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>
        <v>1</v>
      </c>
      <c r="Z18" s="66">
        <f t="shared" si="0"/>
        <v>4.844217239890967E-5</v>
      </c>
    </row>
    <row r="19" spans="1:26" x14ac:dyDescent="0.25">
      <c r="A19" s="6" t="s">
        <v>24</v>
      </c>
      <c r="B19" s="10">
        <v>0.56000000000000005</v>
      </c>
      <c r="C19" s="10"/>
      <c r="D19" s="10"/>
      <c r="E19" s="10"/>
      <c r="F19" s="10"/>
      <c r="G19" s="10">
        <v>0.24</v>
      </c>
      <c r="H19" s="10"/>
      <c r="I19" s="10"/>
      <c r="J19" s="10"/>
      <c r="K19" s="10"/>
      <c r="L19" s="10"/>
      <c r="M19" s="10">
        <v>0.06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>
        <v>0.8600000000000001</v>
      </c>
      <c r="Z19" s="19">
        <f t="shared" si="0"/>
        <v>4.1660268263062322E-5</v>
      </c>
    </row>
    <row r="20" spans="1:26" x14ac:dyDescent="0.25">
      <c r="A20" s="6" t="s">
        <v>25</v>
      </c>
      <c r="B20" s="10">
        <v>0.14000000000000001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0.14000000000000001</v>
      </c>
      <c r="Z20" s="19">
        <f t="shared" si="0"/>
        <v>6.7819041358473545E-6</v>
      </c>
    </row>
    <row r="21" spans="1:26" x14ac:dyDescent="0.25">
      <c r="A21" s="14" t="s">
        <v>28</v>
      </c>
      <c r="B21" s="40">
        <v>1.08</v>
      </c>
      <c r="C21" s="40">
        <v>0.01</v>
      </c>
      <c r="D21" s="40"/>
      <c r="E21" s="40"/>
      <c r="F21" s="40"/>
      <c r="G21" s="40"/>
      <c r="H21" s="40"/>
      <c r="I21" s="40"/>
      <c r="J21" s="40"/>
      <c r="K21" s="40"/>
      <c r="L21" s="40">
        <v>0.33</v>
      </c>
      <c r="M21" s="40"/>
      <c r="N21" s="40"/>
      <c r="O21" s="40"/>
      <c r="P21" s="40">
        <v>0.32</v>
      </c>
      <c r="Q21" s="40"/>
      <c r="R21" s="40"/>
      <c r="S21" s="40"/>
      <c r="T21" s="40"/>
      <c r="U21" s="40"/>
      <c r="V21" s="40"/>
      <c r="W21" s="40"/>
      <c r="X21" s="40"/>
      <c r="Y21" s="40">
        <v>1.7400000000000002</v>
      </c>
      <c r="Z21" s="66">
        <f t="shared" si="0"/>
        <v>8.4289379974102833E-5</v>
      </c>
    </row>
    <row r="22" spans="1:26" x14ac:dyDescent="0.25">
      <c r="A22" s="6" t="s">
        <v>28</v>
      </c>
      <c r="B22" s="10">
        <v>1.08</v>
      </c>
      <c r="C22" s="10">
        <v>0.01</v>
      </c>
      <c r="D22" s="10"/>
      <c r="E22" s="10"/>
      <c r="F22" s="10"/>
      <c r="G22" s="10"/>
      <c r="H22" s="10"/>
      <c r="I22" s="10"/>
      <c r="J22" s="10"/>
      <c r="K22" s="10"/>
      <c r="L22" s="10">
        <v>0.33</v>
      </c>
      <c r="M22" s="10"/>
      <c r="N22" s="10"/>
      <c r="O22" s="10"/>
      <c r="P22" s="10">
        <v>0.32</v>
      </c>
      <c r="Q22" s="10"/>
      <c r="R22" s="10"/>
      <c r="S22" s="10"/>
      <c r="T22" s="10"/>
      <c r="U22" s="10"/>
      <c r="V22" s="10"/>
      <c r="W22" s="10"/>
      <c r="X22" s="10"/>
      <c r="Y22" s="10">
        <v>1.7400000000000002</v>
      </c>
      <c r="Z22" s="19">
        <f t="shared" si="0"/>
        <v>8.4289379974102833E-5</v>
      </c>
    </row>
    <row r="23" spans="1:26" x14ac:dyDescent="0.25">
      <c r="A23" s="14" t="s">
        <v>32</v>
      </c>
      <c r="B23" s="40">
        <v>115.88999999999999</v>
      </c>
      <c r="C23" s="40">
        <v>38.339999999999996</v>
      </c>
      <c r="D23" s="40">
        <v>11.69</v>
      </c>
      <c r="E23" s="40">
        <v>90.210000000000008</v>
      </c>
      <c r="F23" s="40">
        <v>121.59</v>
      </c>
      <c r="G23" s="40">
        <v>87.97</v>
      </c>
      <c r="H23" s="40">
        <v>29.46</v>
      </c>
      <c r="I23" s="40">
        <v>49.49</v>
      </c>
      <c r="J23" s="40">
        <v>29.04</v>
      </c>
      <c r="K23" s="40">
        <v>21.29</v>
      </c>
      <c r="L23" s="40">
        <v>54.02</v>
      </c>
      <c r="M23" s="40">
        <v>22.71</v>
      </c>
      <c r="N23" s="40">
        <v>25.97</v>
      </c>
      <c r="O23" s="40">
        <v>40.1</v>
      </c>
      <c r="P23" s="40">
        <v>66.83</v>
      </c>
      <c r="Q23" s="40">
        <v>132.61000000000001</v>
      </c>
      <c r="R23" s="40">
        <v>112.87</v>
      </c>
      <c r="S23" s="40">
        <v>30.2</v>
      </c>
      <c r="T23" s="40">
        <v>44.38</v>
      </c>
      <c r="U23" s="40">
        <v>44.61</v>
      </c>
      <c r="V23" s="40">
        <v>19.829999999999998</v>
      </c>
      <c r="W23" s="40">
        <v>1.31</v>
      </c>
      <c r="X23" s="40">
        <v>2.67</v>
      </c>
      <c r="Y23" s="40">
        <v>1193.08</v>
      </c>
      <c r="Z23" s="66">
        <f t="shared" si="0"/>
        <v>5.7795387045691142E-2</v>
      </c>
    </row>
    <row r="24" spans="1:26" x14ac:dyDescent="0.25">
      <c r="A24" s="6" t="s">
        <v>32</v>
      </c>
      <c r="B24" s="10">
        <v>115.88999999999999</v>
      </c>
      <c r="C24" s="10">
        <v>38.339999999999996</v>
      </c>
      <c r="D24" s="10">
        <v>11.69</v>
      </c>
      <c r="E24" s="10">
        <v>90.210000000000008</v>
      </c>
      <c r="F24" s="10">
        <v>121.59</v>
      </c>
      <c r="G24" s="10">
        <v>87.97</v>
      </c>
      <c r="H24" s="10">
        <v>29.46</v>
      </c>
      <c r="I24" s="10">
        <v>49.49</v>
      </c>
      <c r="J24" s="10">
        <v>29.04</v>
      </c>
      <c r="K24" s="10">
        <v>21.29</v>
      </c>
      <c r="L24" s="10">
        <v>54.02</v>
      </c>
      <c r="M24" s="10">
        <v>22.71</v>
      </c>
      <c r="N24" s="10">
        <v>25.97</v>
      </c>
      <c r="O24" s="10">
        <v>40.1</v>
      </c>
      <c r="P24" s="10">
        <v>66.83</v>
      </c>
      <c r="Q24" s="10">
        <v>132.61000000000001</v>
      </c>
      <c r="R24" s="10">
        <v>112.87</v>
      </c>
      <c r="S24" s="10">
        <v>30.2</v>
      </c>
      <c r="T24" s="10">
        <v>44.38</v>
      </c>
      <c r="U24" s="10">
        <v>44.61</v>
      </c>
      <c r="V24" s="10">
        <v>19.829999999999998</v>
      </c>
      <c r="W24" s="10">
        <v>1.31</v>
      </c>
      <c r="X24" s="10">
        <v>2.67</v>
      </c>
      <c r="Y24" s="10">
        <v>1193.08</v>
      </c>
      <c r="Z24" s="19">
        <f t="shared" si="0"/>
        <v>5.7795387045691142E-2</v>
      </c>
    </row>
    <row r="25" spans="1:26" x14ac:dyDescent="0.25">
      <c r="A25" s="39" t="s">
        <v>33</v>
      </c>
      <c r="B25" s="41">
        <v>5586.7800000000016</v>
      </c>
      <c r="C25" s="41">
        <v>1364.4699999999998</v>
      </c>
      <c r="D25" s="41">
        <v>339.95000000000005</v>
      </c>
      <c r="E25" s="41">
        <v>507.34</v>
      </c>
      <c r="F25" s="41">
        <v>588.24</v>
      </c>
      <c r="G25" s="41">
        <v>1139.1400000000001</v>
      </c>
      <c r="H25" s="41">
        <v>860.06999999999994</v>
      </c>
      <c r="I25" s="41">
        <v>405.10999999999996</v>
      </c>
      <c r="J25" s="41">
        <v>468.35</v>
      </c>
      <c r="K25" s="41">
        <v>524.89</v>
      </c>
      <c r="L25" s="41">
        <v>474.07999999999993</v>
      </c>
      <c r="M25" s="41">
        <v>850.84999999999991</v>
      </c>
      <c r="N25" s="41">
        <v>452.20000000000005</v>
      </c>
      <c r="O25" s="41">
        <v>748.55</v>
      </c>
      <c r="P25" s="41">
        <v>632.9</v>
      </c>
      <c r="Q25" s="41">
        <v>943.21</v>
      </c>
      <c r="R25" s="41">
        <v>1356.71</v>
      </c>
      <c r="S25" s="41">
        <v>762.59999999999991</v>
      </c>
      <c r="T25" s="41">
        <v>898.38</v>
      </c>
      <c r="U25" s="41">
        <v>849.7</v>
      </c>
      <c r="V25" s="41">
        <v>549.38000000000011</v>
      </c>
      <c r="W25" s="41">
        <v>293.74</v>
      </c>
      <c r="X25" s="41">
        <v>46.53</v>
      </c>
      <c r="Y25" s="41">
        <v>20643.169999999998</v>
      </c>
      <c r="Z25" s="64">
        <f t="shared" si="0"/>
        <v>1</v>
      </c>
    </row>
    <row r="29" spans="1:26" ht="15.75" x14ac:dyDescent="0.25">
      <c r="A29" s="67" t="s">
        <v>56</v>
      </c>
      <c r="B29" s="68" t="s">
        <v>188</v>
      </c>
      <c r="C29" s="68">
        <v>2000</v>
      </c>
      <c r="D29" s="68">
        <v>2001</v>
      </c>
      <c r="E29" s="68">
        <v>2002</v>
      </c>
      <c r="F29" s="68">
        <v>2003</v>
      </c>
      <c r="G29" s="68">
        <v>2004</v>
      </c>
      <c r="H29" s="68">
        <v>2005</v>
      </c>
      <c r="I29" s="68">
        <v>2006</v>
      </c>
      <c r="J29" s="68">
        <v>2007</v>
      </c>
      <c r="K29" s="68">
        <v>2008</v>
      </c>
      <c r="L29" s="68">
        <v>2009</v>
      </c>
      <c r="M29" s="68">
        <v>2010</v>
      </c>
      <c r="N29" s="68">
        <v>2011</v>
      </c>
      <c r="O29" s="68">
        <v>2012</v>
      </c>
      <c r="P29" s="68">
        <v>2013</v>
      </c>
      <c r="Q29" s="68">
        <v>2014</v>
      </c>
      <c r="R29" s="68">
        <v>2015</v>
      </c>
      <c r="S29" s="68">
        <v>2016</v>
      </c>
      <c r="T29" s="68">
        <v>2017</v>
      </c>
      <c r="U29" s="68">
        <v>2018</v>
      </c>
      <c r="V29" s="68">
        <v>2019</v>
      </c>
      <c r="W29" s="68">
        <v>2020</v>
      </c>
      <c r="X29" s="69" t="s">
        <v>53</v>
      </c>
    </row>
    <row r="30" spans="1:26" x14ac:dyDescent="0.25">
      <c r="A30" s="7" t="s">
        <v>4</v>
      </c>
      <c r="B30" s="19">
        <f>B4/$Y$4</f>
        <v>0.10491241895910175</v>
      </c>
      <c r="C30" s="19">
        <f t="shared" ref="C30:W30" si="2">C4/$Y$4</f>
        <v>2.6359618478137229E-2</v>
      </c>
      <c r="D30" s="19">
        <f t="shared" si="2"/>
        <v>2.234007116975123E-2</v>
      </c>
      <c r="E30" s="19">
        <f t="shared" si="2"/>
        <v>2.7393448483174362E-2</v>
      </c>
      <c r="F30" s="19">
        <f t="shared" si="2"/>
        <v>2.620728596266025E-2</v>
      </c>
      <c r="G30" s="19">
        <f t="shared" si="2"/>
        <v>6.6404790146726678E-2</v>
      </c>
      <c r="H30" s="19">
        <f t="shared" si="2"/>
        <v>4.6615780836163329E-2</v>
      </c>
      <c r="I30" s="19">
        <f t="shared" si="2"/>
        <v>1.9663081097769038E-2</v>
      </c>
      <c r="J30" s="19">
        <f t="shared" si="2"/>
        <v>3.8479193409486044E-2</v>
      </c>
      <c r="K30" s="19">
        <f t="shared" si="2"/>
        <v>4.4877159059519355E-2</v>
      </c>
      <c r="L30" s="19">
        <f t="shared" si="2"/>
        <v>2.4105097249077879E-2</v>
      </c>
      <c r="M30" s="19">
        <f t="shared" si="2"/>
        <v>6.0163219212583059E-2</v>
      </c>
      <c r="N30" s="19">
        <f t="shared" si="2"/>
        <v>2.475911151552573E-2</v>
      </c>
      <c r="O30" s="19">
        <f t="shared" si="2"/>
        <v>5.6003525989958225E-2</v>
      </c>
      <c r="P30" s="19">
        <f t="shared" si="2"/>
        <v>2.6562728498773214E-2</v>
      </c>
      <c r="Q30" s="19">
        <f t="shared" si="2"/>
        <v>5.1338088815949819E-2</v>
      </c>
      <c r="R30" s="19">
        <f t="shared" si="2"/>
        <v>0.11670498675722665</v>
      </c>
      <c r="S30" s="19">
        <f t="shared" si="2"/>
        <v>6.0045415400614199E-2</v>
      </c>
      <c r="T30" s="19">
        <f t="shared" si="2"/>
        <v>6.5171912321466283E-2</v>
      </c>
      <c r="U30" s="19">
        <f t="shared" si="2"/>
        <v>4.3546788424353694E-2</v>
      </c>
      <c r="V30" s="19">
        <f t="shared" si="2"/>
        <v>3.4398713094909251E-2</v>
      </c>
      <c r="W30" s="19">
        <f t="shared" si="2"/>
        <v>1.2312529450952991E-2</v>
      </c>
      <c r="X30" s="89">
        <f>X4/Y4</f>
        <v>1.6350356661196234E-3</v>
      </c>
    </row>
    <row r="31" spans="1:26" x14ac:dyDescent="0.25">
      <c r="A31" s="7" t="s">
        <v>14</v>
      </c>
      <c r="B31" s="19">
        <f>B12/$Y$12</f>
        <v>0.34163627822904424</v>
      </c>
      <c r="C31" s="19">
        <f t="shared" ref="C31:W31" si="3">C12/$Y$12</f>
        <v>8.1813211392216298E-2</v>
      </c>
      <c r="D31" s="19">
        <f t="shared" si="3"/>
        <v>1.5073691815388576E-2</v>
      </c>
      <c r="E31" s="19">
        <f t="shared" si="3"/>
        <v>1.9667485503507647E-2</v>
      </c>
      <c r="F31" s="19">
        <f t="shared" si="3"/>
        <v>2.3296596518321614E-2</v>
      </c>
      <c r="G31" s="19">
        <f t="shared" si="3"/>
        <v>5.0517029309411807E-2</v>
      </c>
      <c r="H31" s="19">
        <f t="shared" si="3"/>
        <v>4.1812483329821362E-2</v>
      </c>
      <c r="I31" s="19">
        <f t="shared" si="3"/>
        <v>1.6167185527799728E-2</v>
      </c>
      <c r="J31" s="19">
        <f t="shared" si="3"/>
        <v>1.7467896998772794E-2</v>
      </c>
      <c r="K31" s="19">
        <f t="shared" si="3"/>
        <v>1.9449066785023478E-2</v>
      </c>
      <c r="L31" s="19">
        <f t="shared" si="3"/>
        <v>2.1001099794252364E-2</v>
      </c>
      <c r="M31" s="19">
        <f t="shared" si="3"/>
        <v>3.5759764611827227E-2</v>
      </c>
      <c r="N31" s="19">
        <f t="shared" si="3"/>
        <v>2.0994099194300949E-2</v>
      </c>
      <c r="O31" s="19">
        <f t="shared" si="3"/>
        <v>3.0201988310398196E-2</v>
      </c>
      <c r="P31" s="19">
        <f t="shared" si="3"/>
        <v>3.0346900729392501E-2</v>
      </c>
      <c r="Q31" s="19">
        <f t="shared" si="3"/>
        <v>3.8935936809784591E-2</v>
      </c>
      <c r="R31" s="19">
        <f t="shared" si="3"/>
        <v>4.6841014274923348E-2</v>
      </c>
      <c r="S31" s="19">
        <f t="shared" si="3"/>
        <v>3.0468011108552E-2</v>
      </c>
      <c r="T31" s="19">
        <f t="shared" si="3"/>
        <v>3.621200336868869E-2</v>
      </c>
      <c r="U31" s="19">
        <f t="shared" si="3"/>
        <v>4.0665785057779451E-2</v>
      </c>
      <c r="V31" s="19">
        <f t="shared" si="3"/>
        <v>2.3931550933915035E-2</v>
      </c>
      <c r="W31" s="19">
        <f t="shared" si="3"/>
        <v>1.5234005554276E-2</v>
      </c>
      <c r="X31" s="138">
        <f>X12/Y12</f>
        <v>2.506914842602011E-3</v>
      </c>
    </row>
    <row r="32" spans="1:26" x14ac:dyDescent="0.25">
      <c r="A32" s="7" t="s">
        <v>19</v>
      </c>
      <c r="B32" s="19">
        <f>B16/$Y$16</f>
        <v>0.3027316013699774</v>
      </c>
      <c r="C32" s="19">
        <f t="shared" ref="C32:W32" si="4">C16/$Y$16</f>
        <v>0.11561273076601786</v>
      </c>
      <c r="D32" s="19">
        <f t="shared" si="4"/>
        <v>1.2321443488430372E-2</v>
      </c>
      <c r="E32" s="19">
        <f t="shared" si="4"/>
        <v>5.5133238660095224E-3</v>
      </c>
      <c r="F32" s="19">
        <f t="shared" si="4"/>
        <v>2.0215520842034915E-2</v>
      </c>
      <c r="G32" s="19">
        <f t="shared" si="4"/>
        <v>9.9406900008353494E-3</v>
      </c>
      <c r="H32" s="19">
        <f t="shared" si="4"/>
        <v>1.599699273243672E-2</v>
      </c>
      <c r="I32" s="19">
        <f t="shared" si="4"/>
        <v>0.11640631526188287</v>
      </c>
      <c r="J32" s="19">
        <f t="shared" si="4"/>
        <v>1.4200985715479074E-3</v>
      </c>
      <c r="K32" s="19">
        <f t="shared" si="4"/>
        <v>2.0173753236989389E-2</v>
      </c>
      <c r="L32" s="19">
        <f t="shared" si="4"/>
        <v>4.4273661348258287E-3</v>
      </c>
      <c r="M32" s="19">
        <f t="shared" si="4"/>
        <v>8.7962576225879191E-2</v>
      </c>
      <c r="N32" s="19">
        <f t="shared" si="4"/>
        <v>1.8544816640213849E-2</v>
      </c>
      <c r="O32" s="19">
        <f t="shared" si="4"/>
        <v>5.4297886559184685E-3</v>
      </c>
      <c r="P32" s="19">
        <f t="shared" si="4"/>
        <v>6.1816055467379489E-3</v>
      </c>
      <c r="Q32" s="19">
        <f t="shared" si="4"/>
        <v>6.9334224375574294E-3</v>
      </c>
      <c r="R32" s="19">
        <f t="shared" si="4"/>
        <v>6.2651407568290016E-4</v>
      </c>
      <c r="S32" s="19">
        <f t="shared" si="4"/>
        <v>6.4739787820566348E-3</v>
      </c>
      <c r="T32" s="19">
        <f t="shared" si="4"/>
        <v>6.6243421602205324E-2</v>
      </c>
      <c r="U32" s="19">
        <f t="shared" si="4"/>
        <v>4.0932252944616138E-2</v>
      </c>
      <c r="V32" s="19">
        <f t="shared" si="4"/>
        <v>7.6601787653495942E-2</v>
      </c>
      <c r="W32" s="19">
        <f t="shared" si="4"/>
        <v>5.9309999164647895E-2</v>
      </c>
      <c r="X32" s="138">
        <f>X16/Y16</f>
        <v>0</v>
      </c>
    </row>
    <row r="33" spans="1:24" x14ac:dyDescent="0.25">
      <c r="A33" s="7" t="s">
        <v>23</v>
      </c>
      <c r="B33" s="19">
        <f>B18/$Y$18</f>
        <v>0.70000000000000007</v>
      </c>
      <c r="C33" s="19">
        <f t="shared" ref="C33:W33" si="5">C18/$Y$18</f>
        <v>0</v>
      </c>
      <c r="D33" s="19">
        <f t="shared" si="5"/>
        <v>0</v>
      </c>
      <c r="E33" s="19">
        <f t="shared" si="5"/>
        <v>0</v>
      </c>
      <c r="F33" s="19">
        <f t="shared" si="5"/>
        <v>0</v>
      </c>
      <c r="G33" s="19">
        <f t="shared" si="5"/>
        <v>0.24</v>
      </c>
      <c r="H33" s="19">
        <f t="shared" si="5"/>
        <v>0</v>
      </c>
      <c r="I33" s="19">
        <f t="shared" si="5"/>
        <v>0</v>
      </c>
      <c r="J33" s="19">
        <f t="shared" si="5"/>
        <v>0</v>
      </c>
      <c r="K33" s="19">
        <f t="shared" si="5"/>
        <v>0</v>
      </c>
      <c r="L33" s="19">
        <f t="shared" si="5"/>
        <v>0</v>
      </c>
      <c r="M33" s="19">
        <f t="shared" si="5"/>
        <v>0.06</v>
      </c>
      <c r="N33" s="19">
        <f t="shared" si="5"/>
        <v>0</v>
      </c>
      <c r="O33" s="19">
        <f t="shared" si="5"/>
        <v>0</v>
      </c>
      <c r="P33" s="19">
        <f t="shared" si="5"/>
        <v>0</v>
      </c>
      <c r="Q33" s="19">
        <f t="shared" si="5"/>
        <v>0</v>
      </c>
      <c r="R33" s="19">
        <f t="shared" si="5"/>
        <v>0</v>
      </c>
      <c r="S33" s="19">
        <f t="shared" si="5"/>
        <v>0</v>
      </c>
      <c r="T33" s="19">
        <f t="shared" si="5"/>
        <v>0</v>
      </c>
      <c r="U33" s="19">
        <f t="shared" si="5"/>
        <v>0</v>
      </c>
      <c r="V33" s="19">
        <f t="shared" si="5"/>
        <v>0</v>
      </c>
      <c r="W33" s="19">
        <f t="shared" si="5"/>
        <v>0</v>
      </c>
      <c r="X33" s="138">
        <f>X18/Y18</f>
        <v>0</v>
      </c>
    </row>
    <row r="34" spans="1:24" x14ac:dyDescent="0.25">
      <c r="A34" s="7" t="s">
        <v>28</v>
      </c>
      <c r="B34" s="19">
        <f>B21/$Y$21</f>
        <v>0.62068965517241381</v>
      </c>
      <c r="C34" s="19">
        <f t="shared" ref="C34:W34" si="6">C21/$Y$21</f>
        <v>5.7471264367816082E-3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19">
        <f t="shared" si="6"/>
        <v>0</v>
      </c>
      <c r="J34" s="19">
        <f t="shared" si="6"/>
        <v>0</v>
      </c>
      <c r="K34" s="19">
        <f t="shared" si="6"/>
        <v>0</v>
      </c>
      <c r="L34" s="19">
        <f t="shared" si="6"/>
        <v>0.18965517241379309</v>
      </c>
      <c r="M34" s="19">
        <f t="shared" si="6"/>
        <v>0</v>
      </c>
      <c r="N34" s="19">
        <f t="shared" si="6"/>
        <v>0</v>
      </c>
      <c r="O34" s="19">
        <f t="shared" si="6"/>
        <v>0</v>
      </c>
      <c r="P34" s="19">
        <f t="shared" si="6"/>
        <v>0.18390804597701146</v>
      </c>
      <c r="Q34" s="19">
        <f t="shared" si="6"/>
        <v>0</v>
      </c>
      <c r="R34" s="19">
        <f t="shared" si="6"/>
        <v>0</v>
      </c>
      <c r="S34" s="19">
        <f t="shared" si="6"/>
        <v>0</v>
      </c>
      <c r="T34" s="19">
        <f t="shared" si="6"/>
        <v>0</v>
      </c>
      <c r="U34" s="19">
        <f t="shared" si="6"/>
        <v>0</v>
      </c>
      <c r="V34" s="19">
        <f t="shared" si="6"/>
        <v>0</v>
      </c>
      <c r="W34" s="19">
        <f t="shared" si="6"/>
        <v>0</v>
      </c>
      <c r="X34" s="138">
        <f>X21/Y21</f>
        <v>0</v>
      </c>
    </row>
    <row r="35" spans="1:24" x14ac:dyDescent="0.25">
      <c r="A35" s="7" t="s">
        <v>32</v>
      </c>
      <c r="B35" s="19">
        <f>B23/$Y$23</f>
        <v>9.7135146008649878E-2</v>
      </c>
      <c r="C35" s="19">
        <f t="shared" ref="C35:W35" si="7">C23/$Y$23</f>
        <v>3.2135313642002214E-2</v>
      </c>
      <c r="D35" s="19">
        <f t="shared" si="7"/>
        <v>9.7981694437925364E-3</v>
      </c>
      <c r="E35" s="19">
        <f t="shared" si="7"/>
        <v>7.5611023569249355E-2</v>
      </c>
      <c r="F35" s="19">
        <f t="shared" si="7"/>
        <v>0.10191269655010562</v>
      </c>
      <c r="G35" s="19">
        <f t="shared" si="7"/>
        <v>7.3733530023133403E-2</v>
      </c>
      <c r="H35" s="19">
        <f t="shared" si="7"/>
        <v>2.4692392798471186E-2</v>
      </c>
      <c r="I35" s="19">
        <f t="shared" si="7"/>
        <v>4.1480873034498947E-2</v>
      </c>
      <c r="J35" s="19">
        <f t="shared" si="7"/>
        <v>2.4340362758574447E-2</v>
      </c>
      <c r="K35" s="19">
        <f t="shared" si="7"/>
        <v>1.7844570355717973E-2</v>
      </c>
      <c r="L35" s="19">
        <f t="shared" si="7"/>
        <v>4.5277768464813767E-2</v>
      </c>
      <c r="M35" s="19">
        <f t="shared" si="7"/>
        <v>1.9034767157273612E-2</v>
      </c>
      <c r="N35" s="19">
        <f t="shared" si="7"/>
        <v>2.1767190800281624E-2</v>
      </c>
      <c r="O35" s="19">
        <f t="shared" si="7"/>
        <v>3.3610487142521878E-2</v>
      </c>
      <c r="P35" s="19">
        <f t="shared" si="7"/>
        <v>5.6014684681664269E-2</v>
      </c>
      <c r="Q35" s="19">
        <f t="shared" si="7"/>
        <v>0.1111492942635867</v>
      </c>
      <c r="R35" s="19">
        <f t="shared" si="7"/>
        <v>9.4603882388440017E-2</v>
      </c>
      <c r="S35" s="19">
        <f t="shared" si="7"/>
        <v>2.5312636202098771E-2</v>
      </c>
      <c r="T35" s="19">
        <f t="shared" si="7"/>
        <v>3.7197840882421972E-2</v>
      </c>
      <c r="U35" s="19">
        <f t="shared" si="7"/>
        <v>3.7390619237603513E-2</v>
      </c>
      <c r="V35" s="19">
        <f t="shared" si="7"/>
        <v>1.6620846883695979E-2</v>
      </c>
      <c r="W35" s="19">
        <f t="shared" si="7"/>
        <v>1.0979984577731586E-3</v>
      </c>
      <c r="X35" s="89">
        <f>X23/Y23</f>
        <v>2.2379052536292622E-3</v>
      </c>
    </row>
    <row r="36" spans="1:24" x14ac:dyDescent="0.25">
      <c r="A36" s="7" t="s">
        <v>33</v>
      </c>
      <c r="B36" s="19">
        <f>B25/$Y$25</f>
        <v>0.27063575991478062</v>
      </c>
      <c r="C36" s="19">
        <f t="shared" ref="C36:W36" si="8">C25/$Y$25</f>
        <v>6.6097890973140269E-2</v>
      </c>
      <c r="D36" s="19">
        <f t="shared" si="8"/>
        <v>1.6467916507009343E-2</v>
      </c>
      <c r="E36" s="19">
        <f t="shared" si="8"/>
        <v>2.4576651744862829E-2</v>
      </c>
      <c r="F36" s="19">
        <f t="shared" si="8"/>
        <v>2.8495623491934623E-2</v>
      </c>
      <c r="G36" s="19">
        <f t="shared" si="8"/>
        <v>5.5182416266493964E-2</v>
      </c>
      <c r="H36" s="19">
        <f t="shared" si="8"/>
        <v>4.1663659215130232E-2</v>
      </c>
      <c r="I36" s="19">
        <f t="shared" si="8"/>
        <v>1.9624408460522293E-2</v>
      </c>
      <c r="J36" s="19">
        <f t="shared" si="8"/>
        <v>2.2687891443029344E-2</v>
      </c>
      <c r="K36" s="19">
        <f t="shared" si="8"/>
        <v>2.5426811870463695E-2</v>
      </c>
      <c r="L36" s="19">
        <f t="shared" si="8"/>
        <v>2.2965465090875093E-2</v>
      </c>
      <c r="M36" s="19">
        <f t="shared" si="8"/>
        <v>4.1217022385612284E-2</v>
      </c>
      <c r="N36" s="19">
        <f t="shared" si="8"/>
        <v>2.1905550358786954E-2</v>
      </c>
      <c r="O36" s="19">
        <f t="shared" si="8"/>
        <v>3.6261388149203828E-2</v>
      </c>
      <c r="P36" s="19">
        <f t="shared" si="8"/>
        <v>3.0659050911269928E-2</v>
      </c>
      <c r="Q36" s="19">
        <f t="shared" si="8"/>
        <v>4.569114142837559E-2</v>
      </c>
      <c r="R36" s="19">
        <f t="shared" si="8"/>
        <v>6.5721979715324744E-2</v>
      </c>
      <c r="S36" s="19">
        <f t="shared" si="8"/>
        <v>3.6942000671408508E-2</v>
      </c>
      <c r="T36" s="19">
        <f t="shared" si="8"/>
        <v>4.3519478839732464E-2</v>
      </c>
      <c r="U36" s="19">
        <f t="shared" si="8"/>
        <v>4.116131388735355E-2</v>
      </c>
      <c r="V36" s="19">
        <f t="shared" si="8"/>
        <v>2.6613160672512997E-2</v>
      </c>
      <c r="W36" s="19">
        <f t="shared" si="8"/>
        <v>1.4229403720455726E-2</v>
      </c>
      <c r="X36" s="89">
        <f>X25/Y25</f>
        <v>2.2540142817212669E-3</v>
      </c>
    </row>
  </sheetData>
  <mergeCells count="1">
    <mergeCell ref="A2:B2"/>
  </mergeCells>
  <hyperlinks>
    <hyperlink ref="E1" r:id="rId1" location="INDICE!A1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topLeftCell="Z16" workbookViewId="0">
      <selection activeCell="AS10" sqref="AS10"/>
    </sheetView>
  </sheetViews>
  <sheetFormatPr baseColWidth="10" defaultRowHeight="15" x14ac:dyDescent="0.25"/>
  <cols>
    <col min="1" max="1" width="30" customWidth="1"/>
    <col min="24" max="24" width="19.85546875" customWidth="1"/>
    <col min="25" max="25" width="17.42578125" customWidth="1"/>
    <col min="26" max="26" width="16" customWidth="1"/>
  </cols>
  <sheetData>
    <row r="1" spans="1:26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26" ht="18.75" x14ac:dyDescent="0.3">
      <c r="A2" s="94" t="s">
        <v>144</v>
      </c>
      <c r="B2" s="36"/>
      <c r="C2" s="36"/>
      <c r="D2" s="36"/>
      <c r="E2" s="36"/>
      <c r="F2" s="36"/>
      <c r="G2" s="36"/>
      <c r="H2" s="36"/>
      <c r="K2" s="30"/>
      <c r="L2" s="31"/>
    </row>
    <row r="3" spans="1:26" ht="36.75" customHeight="1" x14ac:dyDescent="0.25">
      <c r="A3" s="32" t="s">
        <v>0</v>
      </c>
      <c r="B3" s="33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6" x14ac:dyDescent="0.25">
      <c r="A4" s="14" t="s">
        <v>4</v>
      </c>
      <c r="B4" s="40">
        <v>40.65</v>
      </c>
      <c r="C4" s="40">
        <v>6.97</v>
      </c>
      <c r="D4" s="40">
        <v>13.100000000000001</v>
      </c>
      <c r="E4" s="40">
        <v>5.36</v>
      </c>
      <c r="F4" s="40">
        <v>3.07</v>
      </c>
      <c r="G4" s="40">
        <v>0.21000000000000002</v>
      </c>
      <c r="H4" s="40"/>
      <c r="I4" s="40"/>
      <c r="J4" s="40">
        <v>13.620000000000001</v>
      </c>
      <c r="K4" s="40">
        <v>18.380000000000003</v>
      </c>
      <c r="L4" s="40"/>
      <c r="M4" s="40">
        <v>2.17</v>
      </c>
      <c r="N4" s="40">
        <v>3.57</v>
      </c>
      <c r="O4" s="40">
        <v>0.77</v>
      </c>
      <c r="P4" s="40">
        <v>3.07</v>
      </c>
      <c r="Q4" s="40"/>
      <c r="R4" s="40">
        <v>17.96</v>
      </c>
      <c r="S4" s="40">
        <v>7.0200000000000005</v>
      </c>
      <c r="T4" s="40"/>
      <c r="U4" s="40"/>
      <c r="V4" s="40">
        <v>0.33</v>
      </c>
      <c r="W4" s="40"/>
      <c r="X4" s="40"/>
      <c r="Y4" s="40">
        <v>136.25</v>
      </c>
      <c r="Z4" s="66">
        <f>Y4/$Y$20</f>
        <v>2.8467022130106306E-2</v>
      </c>
    </row>
    <row r="5" spans="1:26" x14ac:dyDescent="0.25">
      <c r="A5" s="6" t="s">
        <v>5</v>
      </c>
      <c r="B5" s="10">
        <v>10.83</v>
      </c>
      <c r="C5" s="10"/>
      <c r="D5" s="10"/>
      <c r="E5" s="10"/>
      <c r="F5" s="10">
        <v>3.07</v>
      </c>
      <c r="G5" s="10"/>
      <c r="H5" s="10"/>
      <c r="I5" s="10"/>
      <c r="J5" s="10"/>
      <c r="K5" s="10"/>
      <c r="L5" s="10"/>
      <c r="M5" s="10">
        <v>0.39</v>
      </c>
      <c r="N5" s="10">
        <v>0.65</v>
      </c>
      <c r="O5" s="10"/>
      <c r="P5" s="10"/>
      <c r="Q5" s="10"/>
      <c r="R5" s="10"/>
      <c r="S5" s="10">
        <v>1.79</v>
      </c>
      <c r="T5" s="10"/>
      <c r="U5" s="10"/>
      <c r="V5" s="10"/>
      <c r="W5" s="10"/>
      <c r="X5" s="10"/>
      <c r="Y5" s="10">
        <v>16.73</v>
      </c>
      <c r="Z5" s="19">
        <f t="shared" ref="Z5:Z20" si="0">Y5/$Y$20</f>
        <v>3.4954369191682825E-3</v>
      </c>
    </row>
    <row r="6" spans="1:26" x14ac:dyDescent="0.25">
      <c r="A6" s="6" t="s">
        <v>6</v>
      </c>
      <c r="B6" s="10">
        <v>4.3699999999999992</v>
      </c>
      <c r="C6" s="10"/>
      <c r="D6" s="10"/>
      <c r="E6" s="10"/>
      <c r="F6" s="10"/>
      <c r="G6" s="10">
        <v>0.05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>
        <v>0.72</v>
      </c>
      <c r="S6" s="10"/>
      <c r="T6" s="10"/>
      <c r="U6" s="10"/>
      <c r="V6" s="10"/>
      <c r="W6" s="10"/>
      <c r="X6" s="10"/>
      <c r="Y6" s="10">
        <v>5.14</v>
      </c>
      <c r="Z6" s="19">
        <f t="shared" si="0"/>
        <v>1.0739118807247443E-3</v>
      </c>
    </row>
    <row r="7" spans="1:26" x14ac:dyDescent="0.25">
      <c r="A7" s="6" t="s">
        <v>9</v>
      </c>
      <c r="B7" s="10">
        <v>20.630000000000003</v>
      </c>
      <c r="C7" s="10">
        <v>4.01</v>
      </c>
      <c r="D7" s="10">
        <v>13.100000000000001</v>
      </c>
      <c r="E7" s="10">
        <v>5.36</v>
      </c>
      <c r="F7" s="10"/>
      <c r="G7" s="10"/>
      <c r="H7" s="10"/>
      <c r="I7" s="10"/>
      <c r="J7" s="10">
        <v>13.620000000000001</v>
      </c>
      <c r="K7" s="10">
        <v>18.380000000000003</v>
      </c>
      <c r="L7" s="10"/>
      <c r="M7" s="10">
        <v>1.78</v>
      </c>
      <c r="N7" s="10"/>
      <c r="O7" s="10">
        <v>0.77</v>
      </c>
      <c r="P7" s="10">
        <v>2.2799999999999998</v>
      </c>
      <c r="Q7" s="10"/>
      <c r="R7" s="10">
        <v>13.600000000000001</v>
      </c>
      <c r="S7" s="10"/>
      <c r="T7" s="10"/>
      <c r="U7" s="10"/>
      <c r="V7" s="10">
        <v>0.33</v>
      </c>
      <c r="W7" s="10"/>
      <c r="X7" s="10"/>
      <c r="Y7" s="10">
        <v>93.86</v>
      </c>
      <c r="Z7" s="19">
        <f t="shared" si="0"/>
        <v>1.9610383098214883E-2</v>
      </c>
    </row>
    <row r="8" spans="1:26" x14ac:dyDescent="0.25">
      <c r="A8" s="6" t="s">
        <v>11</v>
      </c>
      <c r="B8" s="10">
        <v>4.82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4.82</v>
      </c>
      <c r="Z8" s="19">
        <f t="shared" si="0"/>
        <v>1.007053553520091E-3</v>
      </c>
    </row>
    <row r="9" spans="1:26" x14ac:dyDescent="0.25">
      <c r="A9" s="6" t="s">
        <v>12</v>
      </c>
      <c r="B9" s="10"/>
      <c r="C9" s="10">
        <v>2.96</v>
      </c>
      <c r="D9" s="10"/>
      <c r="E9" s="10"/>
      <c r="F9" s="10"/>
      <c r="G9" s="10">
        <v>0.16</v>
      </c>
      <c r="H9" s="10"/>
      <c r="I9" s="10"/>
      <c r="J9" s="10"/>
      <c r="K9" s="10"/>
      <c r="L9" s="10"/>
      <c r="M9" s="10"/>
      <c r="N9" s="10">
        <v>2.92</v>
      </c>
      <c r="O9" s="10"/>
      <c r="P9" s="10">
        <v>0.79</v>
      </c>
      <c r="Q9" s="10"/>
      <c r="R9" s="10">
        <v>3.64</v>
      </c>
      <c r="S9" s="10">
        <v>5.23</v>
      </c>
      <c r="T9" s="10"/>
      <c r="U9" s="10"/>
      <c r="V9" s="10"/>
      <c r="W9" s="10"/>
      <c r="X9" s="10"/>
      <c r="Y9" s="10">
        <v>15.7</v>
      </c>
      <c r="Z9" s="19">
        <f t="shared" si="0"/>
        <v>3.2802366784783045E-3</v>
      </c>
    </row>
    <row r="10" spans="1:26" x14ac:dyDescent="0.25">
      <c r="A10" s="14" t="s">
        <v>14</v>
      </c>
      <c r="B10" s="40">
        <f>SUM(B11:B13)</f>
        <v>1694.9999999999995</v>
      </c>
      <c r="C10" s="40">
        <f t="shared" ref="C10:Y10" si="1">SUM(C11:C13)</f>
        <v>255.35000000000002</v>
      </c>
      <c r="D10" s="40">
        <f t="shared" si="1"/>
        <v>43.769999999999989</v>
      </c>
      <c r="E10" s="40">
        <f t="shared" si="1"/>
        <v>48.870000000000005</v>
      </c>
      <c r="F10" s="40">
        <f t="shared" si="1"/>
        <v>48.82</v>
      </c>
      <c r="G10" s="40">
        <f t="shared" si="1"/>
        <v>124.32000000000002</v>
      </c>
      <c r="H10" s="40">
        <f t="shared" si="1"/>
        <v>80.669999999999987</v>
      </c>
      <c r="I10" s="40">
        <f t="shared" si="1"/>
        <v>55.48</v>
      </c>
      <c r="J10" s="40">
        <f t="shared" si="1"/>
        <v>67.849999999999994</v>
      </c>
      <c r="K10" s="40">
        <f t="shared" si="1"/>
        <v>67.73</v>
      </c>
      <c r="L10" s="40">
        <f t="shared" si="1"/>
        <v>91.899999999999991</v>
      </c>
      <c r="M10" s="40">
        <f t="shared" si="1"/>
        <v>228.15</v>
      </c>
      <c r="N10" s="40">
        <f t="shared" si="1"/>
        <v>164.35999999999999</v>
      </c>
      <c r="O10" s="40">
        <f t="shared" si="1"/>
        <v>251.78999999999996</v>
      </c>
      <c r="P10" s="40">
        <f t="shared" si="1"/>
        <v>265.49</v>
      </c>
      <c r="Q10" s="40">
        <f t="shared" si="1"/>
        <v>295.14999999999998</v>
      </c>
      <c r="R10" s="40">
        <f t="shared" si="1"/>
        <v>250.80999999999997</v>
      </c>
      <c r="S10" s="40">
        <f t="shared" si="1"/>
        <v>142.38999999999999</v>
      </c>
      <c r="T10" s="40">
        <f t="shared" si="1"/>
        <v>121.72999999999999</v>
      </c>
      <c r="U10" s="40">
        <f t="shared" si="1"/>
        <v>57.260000000000005</v>
      </c>
      <c r="V10" s="40">
        <f t="shared" si="1"/>
        <v>44.09</v>
      </c>
      <c r="W10" s="40">
        <f t="shared" si="1"/>
        <v>18.39</v>
      </c>
      <c r="X10" s="40">
        <f t="shared" si="1"/>
        <v>7.38</v>
      </c>
      <c r="Y10" s="40">
        <f t="shared" si="1"/>
        <v>4426.75</v>
      </c>
      <c r="Z10" s="66">
        <f t="shared" si="0"/>
        <v>0.9248909373537475</v>
      </c>
    </row>
    <row r="11" spans="1:26" x14ac:dyDescent="0.25">
      <c r="A11" s="6" t="s">
        <v>15</v>
      </c>
      <c r="B11" s="10">
        <v>170.72</v>
      </c>
      <c r="C11" s="10">
        <v>22.77</v>
      </c>
      <c r="D11" s="10">
        <v>3.21</v>
      </c>
      <c r="E11" s="10">
        <v>2.02</v>
      </c>
      <c r="F11" s="10">
        <v>0.8899999999999999</v>
      </c>
      <c r="G11" s="10">
        <v>10.17</v>
      </c>
      <c r="H11" s="10">
        <v>5.1099999999999994</v>
      </c>
      <c r="I11" s="10">
        <v>2.82</v>
      </c>
      <c r="J11" s="10">
        <v>2.15</v>
      </c>
      <c r="K11" s="10">
        <v>4.76</v>
      </c>
      <c r="L11" s="10">
        <v>5.1300000000000008</v>
      </c>
      <c r="M11" s="10">
        <v>65.88000000000001</v>
      </c>
      <c r="N11" s="10">
        <v>18.53</v>
      </c>
      <c r="O11" s="10">
        <v>38.510000000000005</v>
      </c>
      <c r="P11" s="10">
        <v>29.02</v>
      </c>
      <c r="Q11" s="10">
        <v>19.63</v>
      </c>
      <c r="R11" s="10">
        <v>9.0299999999999994</v>
      </c>
      <c r="S11" s="10">
        <v>3.2600000000000002</v>
      </c>
      <c r="T11" s="10">
        <v>2.57</v>
      </c>
      <c r="U11" s="10">
        <v>2.69</v>
      </c>
      <c r="V11" s="10">
        <v>1.3599999999999999</v>
      </c>
      <c r="W11" s="10"/>
      <c r="X11" s="10">
        <v>0.46</v>
      </c>
      <c r="Y11" s="10">
        <v>420.68999999999994</v>
      </c>
      <c r="Z11" s="19">
        <f t="shared" si="0"/>
        <v>8.7895717724142536E-2</v>
      </c>
    </row>
    <row r="12" spans="1:26" x14ac:dyDescent="0.25">
      <c r="A12" s="6" t="s">
        <v>16</v>
      </c>
      <c r="B12" s="10">
        <v>11.719999999999999</v>
      </c>
      <c r="C12" s="10">
        <v>2.97</v>
      </c>
      <c r="D12" s="10"/>
      <c r="E12" s="10"/>
      <c r="F12" s="10"/>
      <c r="G12" s="10">
        <v>0.37</v>
      </c>
      <c r="H12" s="10">
        <v>1.94</v>
      </c>
      <c r="I12" s="10"/>
      <c r="J12" s="10">
        <v>18.93</v>
      </c>
      <c r="K12" s="10"/>
      <c r="L12" s="10">
        <v>4.24</v>
      </c>
      <c r="M12" s="10">
        <v>0.51</v>
      </c>
      <c r="N12" s="10">
        <v>0.26</v>
      </c>
      <c r="O12" s="10">
        <v>5.8100000000000005</v>
      </c>
      <c r="P12" s="10">
        <v>8.82</v>
      </c>
      <c r="Q12" s="10">
        <v>4.2</v>
      </c>
      <c r="R12" s="10">
        <v>2.97</v>
      </c>
      <c r="S12" s="10">
        <v>2.2799999999999998</v>
      </c>
      <c r="T12" s="10">
        <v>25.39</v>
      </c>
      <c r="U12" s="10">
        <v>3.05</v>
      </c>
      <c r="V12" s="10">
        <v>3.55</v>
      </c>
      <c r="W12" s="10"/>
      <c r="X12" s="10"/>
      <c r="Y12" s="10">
        <v>97.009999999999991</v>
      </c>
      <c r="Z12" s="19">
        <f t="shared" si="0"/>
        <v>2.0268519756635687E-2</v>
      </c>
    </row>
    <row r="13" spans="1:26" x14ac:dyDescent="0.25">
      <c r="A13" s="6" t="s">
        <v>17</v>
      </c>
      <c r="B13" s="10">
        <v>1512.5599999999995</v>
      </c>
      <c r="C13" s="10">
        <v>229.61</v>
      </c>
      <c r="D13" s="10">
        <v>40.559999999999988</v>
      </c>
      <c r="E13" s="10">
        <v>46.85</v>
      </c>
      <c r="F13" s="10">
        <v>47.93</v>
      </c>
      <c r="G13" s="10">
        <v>113.78000000000002</v>
      </c>
      <c r="H13" s="10">
        <v>73.61999999999999</v>
      </c>
      <c r="I13" s="10">
        <v>52.66</v>
      </c>
      <c r="J13" s="10">
        <v>46.769999999999996</v>
      </c>
      <c r="K13" s="10">
        <v>62.97</v>
      </c>
      <c r="L13" s="10">
        <v>82.529999999999987</v>
      </c>
      <c r="M13" s="10">
        <v>161.76</v>
      </c>
      <c r="N13" s="10">
        <v>145.57</v>
      </c>
      <c r="O13" s="10">
        <v>207.46999999999997</v>
      </c>
      <c r="P13" s="10">
        <v>227.65</v>
      </c>
      <c r="Q13" s="10">
        <v>271.32</v>
      </c>
      <c r="R13" s="10">
        <v>238.80999999999997</v>
      </c>
      <c r="S13" s="10">
        <v>136.85</v>
      </c>
      <c r="T13" s="10">
        <v>93.769999999999982</v>
      </c>
      <c r="U13" s="10">
        <v>51.52</v>
      </c>
      <c r="V13" s="10">
        <v>39.18</v>
      </c>
      <c r="W13" s="10">
        <v>18.39</v>
      </c>
      <c r="X13" s="10">
        <v>6.92</v>
      </c>
      <c r="Y13" s="10">
        <v>3909.0499999999997</v>
      </c>
      <c r="Z13" s="19">
        <f t="shared" si="0"/>
        <v>0.8167266998729692</v>
      </c>
    </row>
    <row r="14" spans="1:26" x14ac:dyDescent="0.25">
      <c r="A14" s="14" t="s">
        <v>19</v>
      </c>
      <c r="B14" s="40">
        <v>77.96999999999997</v>
      </c>
      <c r="C14" s="40">
        <v>4.24</v>
      </c>
      <c r="D14" s="40"/>
      <c r="E14" s="40">
        <v>5.89</v>
      </c>
      <c r="F14" s="40"/>
      <c r="G14" s="40">
        <v>0.28999999999999998</v>
      </c>
      <c r="H14" s="40">
        <v>4.16</v>
      </c>
      <c r="I14" s="40">
        <v>0.76</v>
      </c>
      <c r="J14" s="40">
        <v>2.52</v>
      </c>
      <c r="K14" s="40"/>
      <c r="L14" s="40">
        <v>0.56999999999999995</v>
      </c>
      <c r="M14" s="40">
        <v>16.07</v>
      </c>
      <c r="N14" s="40">
        <v>0.13</v>
      </c>
      <c r="O14" s="40">
        <v>2</v>
      </c>
      <c r="P14" s="40">
        <v>0.4</v>
      </c>
      <c r="Q14" s="40">
        <v>11.02</v>
      </c>
      <c r="R14" s="40">
        <v>5.62</v>
      </c>
      <c r="S14" s="40">
        <v>28.72</v>
      </c>
      <c r="T14" s="40"/>
      <c r="U14" s="40">
        <v>2.2400000000000002</v>
      </c>
      <c r="V14" s="40"/>
      <c r="W14" s="40"/>
      <c r="X14" s="40"/>
      <c r="Y14" s="40">
        <v>162.59999999999997</v>
      </c>
      <c r="Z14" s="66">
        <f t="shared" si="0"/>
        <v>3.3972387510864475E-2</v>
      </c>
    </row>
    <row r="15" spans="1:26" x14ac:dyDescent="0.25">
      <c r="A15" s="6" t="s">
        <v>22</v>
      </c>
      <c r="B15" s="10">
        <v>77.96999999999997</v>
      </c>
      <c r="C15" s="10">
        <v>4.24</v>
      </c>
      <c r="D15" s="10"/>
      <c r="E15" s="10">
        <v>5.89</v>
      </c>
      <c r="F15" s="10"/>
      <c r="G15" s="10">
        <v>0.28999999999999998</v>
      </c>
      <c r="H15" s="10">
        <v>4.16</v>
      </c>
      <c r="I15" s="10">
        <v>0.76</v>
      </c>
      <c r="J15" s="10">
        <v>2.52</v>
      </c>
      <c r="K15" s="10"/>
      <c r="L15" s="10">
        <v>0.56999999999999995</v>
      </c>
      <c r="M15" s="10">
        <v>16.07</v>
      </c>
      <c r="N15" s="10">
        <v>0.13</v>
      </c>
      <c r="O15" s="10">
        <v>2</v>
      </c>
      <c r="P15" s="10">
        <v>0.4</v>
      </c>
      <c r="Q15" s="10">
        <v>11.02</v>
      </c>
      <c r="R15" s="10">
        <v>5.62</v>
      </c>
      <c r="S15" s="10">
        <v>28.72</v>
      </c>
      <c r="T15" s="10"/>
      <c r="U15" s="10">
        <v>2.2400000000000002</v>
      </c>
      <c r="V15" s="10"/>
      <c r="W15" s="10"/>
      <c r="X15" s="10"/>
      <c r="Y15" s="10">
        <v>162.59999999999997</v>
      </c>
      <c r="Z15" s="19">
        <f t="shared" si="0"/>
        <v>3.3972387510864475E-2</v>
      </c>
    </row>
    <row r="16" spans="1:26" x14ac:dyDescent="0.25">
      <c r="A16" s="14" t="s">
        <v>28</v>
      </c>
      <c r="B16" s="40">
        <v>0.22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0.22</v>
      </c>
      <c r="Z16" s="66">
        <f t="shared" si="0"/>
        <v>4.5965099953199171E-5</v>
      </c>
    </row>
    <row r="17" spans="1:26" x14ac:dyDescent="0.25">
      <c r="A17" s="6" t="s">
        <v>28</v>
      </c>
      <c r="B17" s="10">
        <v>0.22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0.22</v>
      </c>
      <c r="Z17" s="19">
        <f t="shared" si="0"/>
        <v>4.5965099953199171E-5</v>
      </c>
    </row>
    <row r="18" spans="1:26" x14ac:dyDescent="0.25">
      <c r="A18" s="14" t="s">
        <v>32</v>
      </c>
      <c r="B18" s="40">
        <v>1.29</v>
      </c>
      <c r="C18" s="40">
        <v>0.36</v>
      </c>
      <c r="D18" s="40"/>
      <c r="E18" s="40">
        <v>0.01</v>
      </c>
      <c r="F18" s="40"/>
      <c r="G18" s="40">
        <v>6.39</v>
      </c>
      <c r="H18" s="40">
        <v>7.15</v>
      </c>
      <c r="I18" s="40"/>
      <c r="J18" s="40"/>
      <c r="K18" s="40"/>
      <c r="L18" s="40">
        <v>0.77</v>
      </c>
      <c r="M18" s="40">
        <v>6.03</v>
      </c>
      <c r="N18" s="40">
        <v>37.9</v>
      </c>
      <c r="O18" s="40"/>
      <c r="P18" s="40"/>
      <c r="Q18" s="40"/>
      <c r="R18" s="40"/>
      <c r="S18" s="40"/>
      <c r="T18" s="40"/>
      <c r="U18" s="40">
        <v>0.52</v>
      </c>
      <c r="V18" s="40"/>
      <c r="W18" s="40"/>
      <c r="X18" s="40"/>
      <c r="Y18" s="40">
        <v>60.42</v>
      </c>
      <c r="Z18" s="66">
        <f t="shared" si="0"/>
        <v>1.262368790532861E-2</v>
      </c>
    </row>
    <row r="19" spans="1:26" x14ac:dyDescent="0.25">
      <c r="A19" s="6" t="s">
        <v>32</v>
      </c>
      <c r="B19" s="10">
        <v>1.29</v>
      </c>
      <c r="C19" s="10">
        <v>0.36</v>
      </c>
      <c r="D19" s="10"/>
      <c r="E19" s="10">
        <v>0.01</v>
      </c>
      <c r="F19" s="10"/>
      <c r="G19" s="10">
        <v>6.39</v>
      </c>
      <c r="H19" s="10">
        <v>7.15</v>
      </c>
      <c r="I19" s="10"/>
      <c r="J19" s="10"/>
      <c r="K19" s="10"/>
      <c r="L19" s="10">
        <v>0.77</v>
      </c>
      <c r="M19" s="10">
        <v>6.03</v>
      </c>
      <c r="N19" s="10">
        <v>37.9</v>
      </c>
      <c r="O19" s="10"/>
      <c r="P19" s="10"/>
      <c r="Q19" s="10"/>
      <c r="R19" s="10"/>
      <c r="S19" s="10"/>
      <c r="T19" s="10"/>
      <c r="U19" s="10">
        <v>0.52</v>
      </c>
      <c r="V19" s="10"/>
      <c r="W19" s="10"/>
      <c r="X19" s="10"/>
      <c r="Y19" s="10">
        <v>60.42</v>
      </c>
      <c r="Z19" s="19">
        <f t="shared" si="0"/>
        <v>1.262368790532861E-2</v>
      </c>
    </row>
    <row r="20" spans="1:26" x14ac:dyDescent="0.25">
      <c r="A20" s="39" t="s">
        <v>33</v>
      </c>
      <c r="B20" s="41">
        <v>1815.1299999999997</v>
      </c>
      <c r="C20" s="41">
        <v>266.92</v>
      </c>
      <c r="D20" s="41">
        <v>56.86999999999999</v>
      </c>
      <c r="E20" s="41">
        <v>60.13</v>
      </c>
      <c r="F20" s="41">
        <v>51.890000000000008</v>
      </c>
      <c r="G20" s="41">
        <v>131.21</v>
      </c>
      <c r="H20" s="41">
        <v>91.97999999999999</v>
      </c>
      <c r="I20" s="41">
        <v>56.24</v>
      </c>
      <c r="J20" s="41">
        <v>83.990000000000009</v>
      </c>
      <c r="K20" s="41">
        <v>86.11</v>
      </c>
      <c r="L20" s="41">
        <v>93.240000000000009</v>
      </c>
      <c r="M20" s="41">
        <v>252.42000000000002</v>
      </c>
      <c r="N20" s="41">
        <v>205.96</v>
      </c>
      <c r="O20" s="41">
        <v>254.55999999999997</v>
      </c>
      <c r="P20" s="41">
        <v>268.96000000000004</v>
      </c>
      <c r="Q20" s="41">
        <v>306.16999999999996</v>
      </c>
      <c r="R20" s="41">
        <v>274.39</v>
      </c>
      <c r="S20" s="41">
        <v>178.13</v>
      </c>
      <c r="T20" s="41">
        <v>121.73000000000002</v>
      </c>
      <c r="U20" s="41">
        <v>60.02</v>
      </c>
      <c r="V20" s="41">
        <v>44.42</v>
      </c>
      <c r="W20" s="41">
        <v>18.39</v>
      </c>
      <c r="X20" s="41">
        <v>7.38</v>
      </c>
      <c r="Y20" s="41">
        <v>4786.24</v>
      </c>
      <c r="Z20" s="64">
        <f t="shared" si="0"/>
        <v>1</v>
      </c>
    </row>
    <row r="24" spans="1:26" ht="15.75" x14ac:dyDescent="0.25">
      <c r="A24" s="67" t="s">
        <v>56</v>
      </c>
      <c r="B24" s="68" t="s">
        <v>188</v>
      </c>
      <c r="C24" s="68">
        <v>2000</v>
      </c>
      <c r="D24" s="68">
        <v>2001</v>
      </c>
      <c r="E24" s="68">
        <v>2002</v>
      </c>
      <c r="F24" s="68">
        <v>2003</v>
      </c>
      <c r="G24" s="68">
        <v>2004</v>
      </c>
      <c r="H24" s="68">
        <v>2005</v>
      </c>
      <c r="I24" s="68">
        <v>2006</v>
      </c>
      <c r="J24" s="68">
        <v>2007</v>
      </c>
      <c r="K24" s="68">
        <v>2008</v>
      </c>
      <c r="L24" s="68">
        <v>2009</v>
      </c>
      <c r="M24" s="68">
        <v>2010</v>
      </c>
      <c r="N24" s="68">
        <v>2011</v>
      </c>
      <c r="O24" s="68">
        <v>2012</v>
      </c>
      <c r="P24" s="68">
        <v>2013</v>
      </c>
      <c r="Q24" s="68">
        <v>2014</v>
      </c>
      <c r="R24" s="68">
        <v>2015</v>
      </c>
      <c r="S24" s="68">
        <v>2016</v>
      </c>
      <c r="T24" s="68">
        <v>2017</v>
      </c>
      <c r="U24" s="68">
        <v>2018</v>
      </c>
      <c r="V24" s="68">
        <v>2019</v>
      </c>
      <c r="W24" s="68">
        <v>2020</v>
      </c>
      <c r="X24" s="69" t="s">
        <v>53</v>
      </c>
    </row>
    <row r="25" spans="1:26" x14ac:dyDescent="0.25">
      <c r="A25" s="7" t="s">
        <v>4</v>
      </c>
      <c r="B25" s="19">
        <f>B4/$Y$4</f>
        <v>0.29834862385321098</v>
      </c>
      <c r="C25" s="19">
        <f t="shared" ref="C25:W25" si="2">C4/$Y$4</f>
        <v>5.1155963302752294E-2</v>
      </c>
      <c r="D25" s="19">
        <f t="shared" si="2"/>
        <v>9.6146788990825696E-2</v>
      </c>
      <c r="E25" s="19">
        <f t="shared" si="2"/>
        <v>3.9339449541284405E-2</v>
      </c>
      <c r="F25" s="19">
        <f t="shared" si="2"/>
        <v>2.2532110091743118E-2</v>
      </c>
      <c r="G25" s="19">
        <f t="shared" si="2"/>
        <v>1.541284403669725E-3</v>
      </c>
      <c r="H25" s="19">
        <f t="shared" si="2"/>
        <v>0</v>
      </c>
      <c r="I25" s="19">
        <f t="shared" si="2"/>
        <v>0</v>
      </c>
      <c r="J25" s="19">
        <f t="shared" si="2"/>
        <v>9.9963302752293579E-2</v>
      </c>
      <c r="K25" s="19">
        <f t="shared" si="2"/>
        <v>0.13489908256880737</v>
      </c>
      <c r="L25" s="19">
        <f t="shared" si="2"/>
        <v>0</v>
      </c>
      <c r="M25" s="19">
        <f t="shared" si="2"/>
        <v>1.5926605504587157E-2</v>
      </c>
      <c r="N25" s="19">
        <f t="shared" si="2"/>
        <v>2.620183486238532E-2</v>
      </c>
      <c r="O25" s="19">
        <f t="shared" si="2"/>
        <v>5.6513761467889912E-3</v>
      </c>
      <c r="P25" s="19">
        <f t="shared" si="2"/>
        <v>2.2532110091743118E-2</v>
      </c>
      <c r="Q25" s="19">
        <f t="shared" si="2"/>
        <v>0</v>
      </c>
      <c r="R25" s="19">
        <f t="shared" si="2"/>
        <v>0.13181651376146789</v>
      </c>
      <c r="S25" s="19">
        <f t="shared" si="2"/>
        <v>5.1522935779816516E-2</v>
      </c>
      <c r="T25" s="19">
        <f t="shared" si="2"/>
        <v>0</v>
      </c>
      <c r="U25" s="19">
        <f t="shared" si="2"/>
        <v>0</v>
      </c>
      <c r="V25" s="19">
        <f t="shared" si="2"/>
        <v>2.4220183486238535E-3</v>
      </c>
      <c r="W25" s="19">
        <f t="shared" si="2"/>
        <v>0</v>
      </c>
      <c r="X25" s="107">
        <f>X4/Y4</f>
        <v>0</v>
      </c>
    </row>
    <row r="26" spans="1:26" x14ac:dyDescent="0.25">
      <c r="A26" s="7" t="s">
        <v>14</v>
      </c>
      <c r="B26" s="19">
        <f>B10/$Y$10</f>
        <v>0.38289941830914315</v>
      </c>
      <c r="C26" s="19">
        <f t="shared" ref="C26:W26" si="3">C10/$Y$10</f>
        <v>5.768340204438923E-2</v>
      </c>
      <c r="D26" s="19">
        <f t="shared" si="3"/>
        <v>9.8876150674874312E-3</v>
      </c>
      <c r="E26" s="19">
        <f t="shared" si="3"/>
        <v>1.1039701812842379E-2</v>
      </c>
      <c r="F26" s="19">
        <f t="shared" si="3"/>
        <v>1.1028406844750663E-2</v>
      </c>
      <c r="G26" s="19">
        <f t="shared" si="3"/>
        <v>2.808380866324053E-2</v>
      </c>
      <c r="H26" s="19">
        <f t="shared" si="3"/>
        <v>1.8223301519173205E-2</v>
      </c>
      <c r="I26" s="19">
        <f t="shared" si="3"/>
        <v>1.2532896594567119E-2</v>
      </c>
      <c r="J26" s="19">
        <f t="shared" si="3"/>
        <v>1.5327271700457445E-2</v>
      </c>
      <c r="K26" s="19">
        <f t="shared" si="3"/>
        <v>1.5300163777037331E-2</v>
      </c>
      <c r="L26" s="19">
        <f t="shared" si="3"/>
        <v>2.0760151352572427E-2</v>
      </c>
      <c r="M26" s="19">
        <f t="shared" si="3"/>
        <v>5.1538939402496188E-2</v>
      </c>
      <c r="N26" s="19">
        <f t="shared" si="3"/>
        <v>3.7128819111086009E-2</v>
      </c>
      <c r="O26" s="19">
        <f t="shared" si="3"/>
        <v>5.68792003162591E-2</v>
      </c>
      <c r="P26" s="19">
        <f t="shared" si="3"/>
        <v>5.9974021573389054E-2</v>
      </c>
      <c r="Q26" s="19">
        <f t="shared" si="3"/>
        <v>6.6674196645394465E-2</v>
      </c>
      <c r="R26" s="19">
        <f t="shared" si="3"/>
        <v>5.6657818941661484E-2</v>
      </c>
      <c r="S26" s="19">
        <f t="shared" si="3"/>
        <v>3.2165810131586377E-2</v>
      </c>
      <c r="T26" s="19">
        <f t="shared" si="3"/>
        <v>2.7498729316089678E-2</v>
      </c>
      <c r="U26" s="19">
        <f t="shared" si="3"/>
        <v>1.2934997458632181E-2</v>
      </c>
      <c r="V26" s="19">
        <f t="shared" si="3"/>
        <v>9.9599028632744117E-3</v>
      </c>
      <c r="W26" s="19">
        <f t="shared" si="3"/>
        <v>4.1542892641328287E-3</v>
      </c>
      <c r="X26" s="89">
        <f>X10/Y10</f>
        <v>1.6671372903371547E-3</v>
      </c>
    </row>
    <row r="27" spans="1:26" x14ac:dyDescent="0.25">
      <c r="A27" s="7" t="s">
        <v>19</v>
      </c>
      <c r="B27" s="19">
        <f>B14/$Y$14</f>
        <v>0.47952029520295197</v>
      </c>
      <c r="C27" s="19">
        <f t="shared" ref="C27:W27" si="4">C14/$Y$14</f>
        <v>2.6076260762607634E-2</v>
      </c>
      <c r="D27" s="19">
        <f t="shared" si="4"/>
        <v>0</v>
      </c>
      <c r="E27" s="19">
        <f t="shared" si="4"/>
        <v>3.6223862238622395E-2</v>
      </c>
      <c r="F27" s="19">
        <f t="shared" si="4"/>
        <v>0</v>
      </c>
      <c r="G27" s="19">
        <f t="shared" si="4"/>
        <v>1.7835178351783521E-3</v>
      </c>
      <c r="H27" s="19">
        <f t="shared" si="4"/>
        <v>2.5584255842558433E-2</v>
      </c>
      <c r="I27" s="19">
        <f t="shared" si="4"/>
        <v>4.6740467404674056E-3</v>
      </c>
      <c r="J27" s="19">
        <f t="shared" si="4"/>
        <v>1.5498154981549819E-2</v>
      </c>
      <c r="K27" s="19">
        <f t="shared" si="4"/>
        <v>0</v>
      </c>
      <c r="L27" s="19">
        <f t="shared" si="4"/>
        <v>3.5055350553505537E-3</v>
      </c>
      <c r="M27" s="19">
        <f t="shared" si="4"/>
        <v>9.883148831488317E-2</v>
      </c>
      <c r="N27" s="19">
        <f t="shared" si="4"/>
        <v>7.9950799507995103E-4</v>
      </c>
      <c r="O27" s="19">
        <f t="shared" si="4"/>
        <v>1.2300123001230016E-2</v>
      </c>
      <c r="P27" s="19">
        <f t="shared" si="4"/>
        <v>2.460024600246003E-3</v>
      </c>
      <c r="Q27" s="19">
        <f t="shared" si="4"/>
        <v>6.777367773677738E-2</v>
      </c>
      <c r="R27" s="19">
        <f t="shared" si="4"/>
        <v>3.4563345633456345E-2</v>
      </c>
      <c r="S27" s="19">
        <f t="shared" si="4"/>
        <v>0.176629766297663</v>
      </c>
      <c r="T27" s="19">
        <f t="shared" si="4"/>
        <v>0</v>
      </c>
      <c r="U27" s="19">
        <f t="shared" si="4"/>
        <v>1.3776137761377618E-2</v>
      </c>
      <c r="V27" s="19">
        <f t="shared" si="4"/>
        <v>0</v>
      </c>
      <c r="W27" s="19">
        <f t="shared" si="4"/>
        <v>0</v>
      </c>
      <c r="X27" s="107">
        <f>X14/Y14</f>
        <v>0</v>
      </c>
    </row>
    <row r="28" spans="1:26" x14ac:dyDescent="0.25">
      <c r="A28" s="7" t="s">
        <v>28</v>
      </c>
      <c r="B28" s="19">
        <f>B16/$Y$16</f>
        <v>1</v>
      </c>
      <c r="C28" s="19">
        <f t="shared" ref="C28:W28" si="5">C16/$Y$16</f>
        <v>0</v>
      </c>
      <c r="D28" s="19">
        <f t="shared" si="5"/>
        <v>0</v>
      </c>
      <c r="E28" s="19">
        <f t="shared" si="5"/>
        <v>0</v>
      </c>
      <c r="F28" s="19">
        <f t="shared" si="5"/>
        <v>0</v>
      </c>
      <c r="G28" s="19">
        <f t="shared" si="5"/>
        <v>0</v>
      </c>
      <c r="H28" s="19">
        <f t="shared" si="5"/>
        <v>0</v>
      </c>
      <c r="I28" s="19">
        <f t="shared" si="5"/>
        <v>0</v>
      </c>
      <c r="J28" s="19">
        <f t="shared" si="5"/>
        <v>0</v>
      </c>
      <c r="K28" s="19">
        <f t="shared" si="5"/>
        <v>0</v>
      </c>
      <c r="L28" s="19">
        <f t="shared" si="5"/>
        <v>0</v>
      </c>
      <c r="M28" s="19">
        <f t="shared" si="5"/>
        <v>0</v>
      </c>
      <c r="N28" s="19">
        <f t="shared" si="5"/>
        <v>0</v>
      </c>
      <c r="O28" s="19">
        <f t="shared" si="5"/>
        <v>0</v>
      </c>
      <c r="P28" s="19">
        <f t="shared" si="5"/>
        <v>0</v>
      </c>
      <c r="Q28" s="19">
        <f t="shared" si="5"/>
        <v>0</v>
      </c>
      <c r="R28" s="19">
        <f t="shared" si="5"/>
        <v>0</v>
      </c>
      <c r="S28" s="19">
        <f t="shared" si="5"/>
        <v>0</v>
      </c>
      <c r="T28" s="19">
        <f t="shared" si="5"/>
        <v>0</v>
      </c>
      <c r="U28" s="19">
        <f t="shared" si="5"/>
        <v>0</v>
      </c>
      <c r="V28" s="19">
        <f t="shared" si="5"/>
        <v>0</v>
      </c>
      <c r="W28" s="19">
        <f t="shared" si="5"/>
        <v>0</v>
      </c>
      <c r="X28" s="107">
        <f>X16/Y16</f>
        <v>0</v>
      </c>
    </row>
    <row r="29" spans="1:26" x14ac:dyDescent="0.25">
      <c r="A29" s="7" t="s">
        <v>32</v>
      </c>
      <c r="B29" s="19">
        <f>B18/$Y$18</f>
        <v>2.1350546176762662E-2</v>
      </c>
      <c r="C29" s="19">
        <f t="shared" ref="C29:W29" si="6">C18/$Y$18</f>
        <v>5.9582919563058584E-3</v>
      </c>
      <c r="D29" s="19">
        <f t="shared" si="6"/>
        <v>0</v>
      </c>
      <c r="E29" s="19">
        <f t="shared" si="6"/>
        <v>1.6550810989738498E-4</v>
      </c>
      <c r="F29" s="19">
        <f t="shared" si="6"/>
        <v>0</v>
      </c>
      <c r="G29" s="19">
        <f t="shared" si="6"/>
        <v>0.10575968222442898</v>
      </c>
      <c r="H29" s="19">
        <f t="shared" si="6"/>
        <v>0.11833829857663025</v>
      </c>
      <c r="I29" s="19">
        <f t="shared" si="6"/>
        <v>0</v>
      </c>
      <c r="J29" s="19">
        <f t="shared" si="6"/>
        <v>0</v>
      </c>
      <c r="K29" s="19">
        <f t="shared" si="6"/>
        <v>0</v>
      </c>
      <c r="L29" s="19">
        <f t="shared" si="6"/>
        <v>1.2744124462098643E-2</v>
      </c>
      <c r="M29" s="19">
        <f t="shared" si="6"/>
        <v>9.9801390268123139E-2</v>
      </c>
      <c r="N29" s="19">
        <f t="shared" si="6"/>
        <v>0.62727573651108903</v>
      </c>
      <c r="O29" s="19">
        <f t="shared" si="6"/>
        <v>0</v>
      </c>
      <c r="P29" s="19">
        <f t="shared" si="6"/>
        <v>0</v>
      </c>
      <c r="Q29" s="19">
        <f t="shared" si="6"/>
        <v>0</v>
      </c>
      <c r="R29" s="19">
        <f t="shared" si="6"/>
        <v>0</v>
      </c>
      <c r="S29" s="19">
        <f t="shared" si="6"/>
        <v>0</v>
      </c>
      <c r="T29" s="19">
        <f t="shared" si="6"/>
        <v>0</v>
      </c>
      <c r="U29" s="19">
        <f t="shared" si="6"/>
        <v>8.6064217146640185E-3</v>
      </c>
      <c r="V29" s="19">
        <f t="shared" si="6"/>
        <v>0</v>
      </c>
      <c r="W29" s="19">
        <f t="shared" si="6"/>
        <v>0</v>
      </c>
      <c r="X29" s="107">
        <f>X18/Y18</f>
        <v>0</v>
      </c>
    </row>
    <row r="30" spans="1:26" x14ac:dyDescent="0.25">
      <c r="A30" s="7" t="s">
        <v>33</v>
      </c>
      <c r="B30" s="19">
        <f>B20/$Y$20</f>
        <v>0.37923923580932001</v>
      </c>
      <c r="C30" s="19">
        <f t="shared" ref="C30:W30" si="7">C20/$Y$20</f>
        <v>5.5768202179581471E-2</v>
      </c>
      <c r="D30" s="19">
        <f t="shared" si="7"/>
        <v>1.1881978337901984E-2</v>
      </c>
      <c r="E30" s="19">
        <f t="shared" si="7"/>
        <v>1.2563097546299393E-2</v>
      </c>
      <c r="F30" s="19">
        <f t="shared" si="7"/>
        <v>1.084149562077957E-2</v>
      </c>
      <c r="G30" s="19">
        <f t="shared" si="7"/>
        <v>2.7414003476633017E-2</v>
      </c>
      <c r="H30" s="19">
        <f t="shared" si="7"/>
        <v>1.9217590425887544E-2</v>
      </c>
      <c r="I30" s="19">
        <f t="shared" si="7"/>
        <v>1.1750351006217826E-2</v>
      </c>
      <c r="J30" s="19">
        <f t="shared" si="7"/>
        <v>1.754822156849636E-2</v>
      </c>
      <c r="K30" s="19">
        <f t="shared" si="7"/>
        <v>1.7991157986227184E-2</v>
      </c>
      <c r="L30" s="19">
        <f t="shared" si="7"/>
        <v>1.948084508925587E-2</v>
      </c>
      <c r="M30" s="19">
        <f t="shared" si="7"/>
        <v>5.2738684228120621E-2</v>
      </c>
      <c r="N30" s="19">
        <f t="shared" si="7"/>
        <v>4.303169084709501E-2</v>
      </c>
      <c r="O30" s="19">
        <f t="shared" si="7"/>
        <v>5.3185799291301732E-2</v>
      </c>
      <c r="P30" s="19">
        <f t="shared" si="7"/>
        <v>5.6194424015511141E-2</v>
      </c>
      <c r="Q30" s="19">
        <f t="shared" si="7"/>
        <v>6.3968793875777225E-2</v>
      </c>
      <c r="R30" s="19">
        <f t="shared" si="7"/>
        <v>5.7328926255265096E-2</v>
      </c>
      <c r="S30" s="19">
        <f t="shared" si="7"/>
        <v>3.7217105703015313E-2</v>
      </c>
      <c r="T30" s="19">
        <f t="shared" si="7"/>
        <v>2.5433325533195165E-2</v>
      </c>
      <c r="U30" s="19">
        <f t="shared" si="7"/>
        <v>1.2540114996322793E-2</v>
      </c>
      <c r="V30" s="19">
        <f t="shared" si="7"/>
        <v>9.2807715450959425E-3</v>
      </c>
      <c r="W30" s="19">
        <f t="shared" si="7"/>
        <v>3.842264491542422E-3</v>
      </c>
      <c r="X30" s="89">
        <f>X20/Y20</f>
        <v>1.5419201711573177E-3</v>
      </c>
    </row>
  </sheetData>
  <hyperlinks>
    <hyperlink ref="D1" r:id="rId1" location="INDICE!A1"/>
  </hyperlinks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opLeftCell="A28" workbookViewId="0">
      <pane xSplit="1" topLeftCell="AK1" activePane="topRight" state="frozen"/>
      <selection pane="topRight" activeCell="AO33" sqref="AO33"/>
    </sheetView>
  </sheetViews>
  <sheetFormatPr baseColWidth="10" defaultRowHeight="15" x14ac:dyDescent="0.25"/>
  <cols>
    <col min="1" max="1" width="25.28515625" customWidth="1"/>
    <col min="24" max="24" width="17.85546875" customWidth="1"/>
    <col min="25" max="25" width="16.28515625" customWidth="1"/>
    <col min="26" max="26" width="14.5703125" customWidth="1"/>
  </cols>
  <sheetData>
    <row r="1" spans="1:27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27" ht="18.75" x14ac:dyDescent="0.3">
      <c r="A2" s="37" t="s">
        <v>41</v>
      </c>
      <c r="B2" s="36"/>
      <c r="C2" s="36"/>
      <c r="D2" s="36"/>
      <c r="E2" s="30"/>
      <c r="F2" s="31"/>
      <c r="G2" s="36"/>
      <c r="H2" s="36"/>
    </row>
    <row r="3" spans="1:27" ht="36" customHeight="1" x14ac:dyDescent="0.25">
      <c r="A3" s="32" t="s">
        <v>0</v>
      </c>
      <c r="B3" s="38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7" x14ac:dyDescent="0.25">
      <c r="A4" s="14" t="s">
        <v>4</v>
      </c>
      <c r="B4" s="40">
        <v>1679.9999999999998</v>
      </c>
      <c r="C4" s="40">
        <v>241.84999999999997</v>
      </c>
      <c r="D4" s="40">
        <v>64.150000000000006</v>
      </c>
      <c r="E4" s="40">
        <v>88.210000000000008</v>
      </c>
      <c r="F4" s="40">
        <v>47.83</v>
      </c>
      <c r="G4" s="40">
        <v>50.39</v>
      </c>
      <c r="H4" s="40">
        <v>30.4</v>
      </c>
      <c r="I4" s="40">
        <v>7.5</v>
      </c>
      <c r="J4" s="40">
        <v>2.7300000000000004</v>
      </c>
      <c r="K4" s="40">
        <v>23.72</v>
      </c>
      <c r="L4" s="40">
        <v>21.35</v>
      </c>
      <c r="M4" s="40">
        <v>62.429999999999993</v>
      </c>
      <c r="N4" s="40">
        <v>14.66</v>
      </c>
      <c r="O4" s="40">
        <v>60.59</v>
      </c>
      <c r="P4" s="40">
        <v>62.839999999999989</v>
      </c>
      <c r="Q4" s="40">
        <v>147.6</v>
      </c>
      <c r="R4" s="40">
        <v>139.89000000000001</v>
      </c>
      <c r="S4" s="40">
        <v>88.81</v>
      </c>
      <c r="T4" s="40">
        <v>139.72</v>
      </c>
      <c r="U4" s="40">
        <v>111.3</v>
      </c>
      <c r="V4" s="40">
        <v>129.87</v>
      </c>
      <c r="W4" s="40">
        <v>65.760000000000005</v>
      </c>
      <c r="X4" s="40">
        <v>1.42</v>
      </c>
      <c r="Y4" s="40">
        <v>3283.02</v>
      </c>
      <c r="Z4" s="66">
        <f>Y4/$Y$39</f>
        <v>0.12090836505485958</v>
      </c>
      <c r="AA4" s="197">
        <f>SUM(C4:X4)</f>
        <v>1603.0200000000002</v>
      </c>
    </row>
    <row r="5" spans="1:27" x14ac:dyDescent="0.25">
      <c r="A5" s="6" t="s">
        <v>5</v>
      </c>
      <c r="B5" s="10">
        <v>378.83999999999992</v>
      </c>
      <c r="C5" s="10">
        <v>134.36999999999998</v>
      </c>
      <c r="D5" s="10">
        <v>36.04</v>
      </c>
      <c r="E5" s="10">
        <v>54.6</v>
      </c>
      <c r="F5" s="10">
        <v>26.86</v>
      </c>
      <c r="G5" s="10">
        <v>18.63</v>
      </c>
      <c r="H5" s="10">
        <v>12.83</v>
      </c>
      <c r="I5" s="10">
        <v>2.78</v>
      </c>
      <c r="J5" s="10">
        <v>1.28</v>
      </c>
      <c r="K5" s="10">
        <v>12.739999999999998</v>
      </c>
      <c r="L5" s="10">
        <v>8.25</v>
      </c>
      <c r="M5" s="10">
        <v>24.909999999999997</v>
      </c>
      <c r="N5" s="10">
        <v>9.67</v>
      </c>
      <c r="O5" s="10">
        <v>8.68</v>
      </c>
      <c r="P5" s="10">
        <v>21.72</v>
      </c>
      <c r="Q5" s="10">
        <v>42.22</v>
      </c>
      <c r="R5" s="10">
        <v>17.63</v>
      </c>
      <c r="S5" s="10">
        <v>24.57</v>
      </c>
      <c r="T5" s="10">
        <v>52.68</v>
      </c>
      <c r="U5" s="10">
        <v>46.239999999999995</v>
      </c>
      <c r="V5" s="10">
        <v>52.58</v>
      </c>
      <c r="W5" s="10">
        <v>9.07</v>
      </c>
      <c r="X5" s="10">
        <v>0.17</v>
      </c>
      <c r="Y5" s="10">
        <v>997.36</v>
      </c>
      <c r="Z5" s="19">
        <f t="shared" ref="Z5:Z39" si="0">Y5/$Y$39</f>
        <v>3.6731170377004942E-2</v>
      </c>
    </row>
    <row r="6" spans="1:27" x14ac:dyDescent="0.25">
      <c r="A6" s="6" t="s">
        <v>6</v>
      </c>
      <c r="B6" s="10">
        <v>0.2</v>
      </c>
      <c r="C6" s="10"/>
      <c r="D6" s="10">
        <v>1.0900000000000001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4.75</v>
      </c>
      <c r="T6" s="10">
        <v>2.2599999999999998</v>
      </c>
      <c r="U6" s="10">
        <v>2</v>
      </c>
      <c r="V6" s="10"/>
      <c r="W6" s="10"/>
      <c r="X6" s="10"/>
      <c r="Y6" s="10">
        <v>10.3</v>
      </c>
      <c r="Z6" s="19">
        <f t="shared" si="0"/>
        <v>3.7933249266378327E-4</v>
      </c>
    </row>
    <row r="7" spans="1:27" x14ac:dyDescent="0.25">
      <c r="A7" s="6" t="s">
        <v>7</v>
      </c>
      <c r="B7" s="10">
        <v>0.47</v>
      </c>
      <c r="C7" s="10"/>
      <c r="D7" s="10">
        <v>0.92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>
        <v>0.17</v>
      </c>
      <c r="S7" s="10"/>
      <c r="T7" s="10"/>
      <c r="U7" s="10">
        <v>0.2</v>
      </c>
      <c r="V7" s="10">
        <v>2.72</v>
      </c>
      <c r="W7" s="10">
        <v>3</v>
      </c>
      <c r="X7" s="10"/>
      <c r="Y7" s="10">
        <v>7.48</v>
      </c>
      <c r="Z7" s="19">
        <f t="shared" si="0"/>
        <v>2.7547641214806787E-4</v>
      </c>
    </row>
    <row r="8" spans="1:27" x14ac:dyDescent="0.25">
      <c r="A8" s="6" t="s">
        <v>8</v>
      </c>
      <c r="B8" s="10">
        <v>29.67</v>
      </c>
      <c r="C8" s="10">
        <v>1.28</v>
      </c>
      <c r="D8" s="10"/>
      <c r="E8" s="10"/>
      <c r="F8" s="10">
        <v>0.02</v>
      </c>
      <c r="G8" s="10">
        <v>0.03</v>
      </c>
      <c r="H8" s="10"/>
      <c r="I8" s="10"/>
      <c r="J8" s="10">
        <v>0.44</v>
      </c>
      <c r="K8" s="10">
        <v>0.17</v>
      </c>
      <c r="L8" s="10">
        <v>0.15</v>
      </c>
      <c r="M8" s="10">
        <v>0.08</v>
      </c>
      <c r="N8" s="10">
        <v>0.03</v>
      </c>
      <c r="O8" s="10"/>
      <c r="P8" s="10"/>
      <c r="Q8" s="10"/>
      <c r="R8" s="10"/>
      <c r="S8" s="10">
        <v>0.52</v>
      </c>
      <c r="T8" s="10"/>
      <c r="U8" s="10"/>
      <c r="V8" s="10">
        <v>0.06</v>
      </c>
      <c r="W8" s="10"/>
      <c r="X8" s="10">
        <v>0.03</v>
      </c>
      <c r="Y8" s="10">
        <v>32.480000000000004</v>
      </c>
      <c r="Z8" s="19">
        <f t="shared" si="0"/>
        <v>1.1961863457980273E-3</v>
      </c>
    </row>
    <row r="9" spans="1:27" x14ac:dyDescent="0.25">
      <c r="A9" s="6" t="s">
        <v>9</v>
      </c>
      <c r="B9" s="10">
        <v>7.8699999999999992</v>
      </c>
      <c r="C9" s="10"/>
      <c r="D9" s="10"/>
      <c r="E9" s="10"/>
      <c r="F9" s="10"/>
      <c r="G9" s="10"/>
      <c r="H9" s="10"/>
      <c r="I9" s="10"/>
      <c r="J9" s="10">
        <v>0.46</v>
      </c>
      <c r="K9" s="10"/>
      <c r="L9" s="10">
        <v>1.28</v>
      </c>
      <c r="M9" s="10"/>
      <c r="N9" s="10"/>
      <c r="O9" s="10">
        <v>1.1199999999999999</v>
      </c>
      <c r="P9" s="10">
        <v>13.36</v>
      </c>
      <c r="Q9" s="10">
        <v>8.85</v>
      </c>
      <c r="R9" s="10">
        <v>30.85</v>
      </c>
      <c r="S9" s="10">
        <v>3.31</v>
      </c>
      <c r="T9" s="10">
        <v>1.8</v>
      </c>
      <c r="U9" s="10">
        <v>7.35</v>
      </c>
      <c r="V9" s="10">
        <v>3.16</v>
      </c>
      <c r="W9" s="10"/>
      <c r="X9" s="10"/>
      <c r="Y9" s="10">
        <v>79.41</v>
      </c>
      <c r="Z9" s="19">
        <f t="shared" si="0"/>
        <v>2.9245430332457308E-3</v>
      </c>
    </row>
    <row r="10" spans="1:27" x14ac:dyDescent="0.25">
      <c r="A10" s="6" t="s">
        <v>11</v>
      </c>
      <c r="B10" s="10">
        <v>1259.1099999999999</v>
      </c>
      <c r="C10" s="10">
        <v>101.08</v>
      </c>
      <c r="D10" s="10">
        <v>26.1</v>
      </c>
      <c r="E10" s="10">
        <v>24.58</v>
      </c>
      <c r="F10" s="10">
        <v>20.869999999999997</v>
      </c>
      <c r="G10" s="10">
        <v>31.69</v>
      </c>
      <c r="H10" s="10">
        <v>17.57</v>
      </c>
      <c r="I10" s="10">
        <v>3.2800000000000002</v>
      </c>
      <c r="J10" s="10"/>
      <c r="K10" s="10">
        <v>10.809999999999999</v>
      </c>
      <c r="L10" s="10">
        <v>11.670000000000002</v>
      </c>
      <c r="M10" s="10">
        <v>37.44</v>
      </c>
      <c r="N10" s="10">
        <v>1.59</v>
      </c>
      <c r="O10" s="10">
        <v>44.84</v>
      </c>
      <c r="P10" s="10">
        <v>18.739999999999998</v>
      </c>
      <c r="Q10" s="10">
        <v>92.57</v>
      </c>
      <c r="R10" s="10">
        <v>82.47</v>
      </c>
      <c r="S10" s="10">
        <v>36.6</v>
      </c>
      <c r="T10" s="10">
        <v>62.38</v>
      </c>
      <c r="U10" s="10">
        <v>40.82</v>
      </c>
      <c r="V10" s="10">
        <v>50.160000000000004</v>
      </c>
      <c r="W10" s="10">
        <v>47.09</v>
      </c>
      <c r="X10" s="10">
        <v>1.22</v>
      </c>
      <c r="Y10" s="10">
        <v>2022.6799999999998</v>
      </c>
      <c r="Z10" s="19">
        <f t="shared" si="0"/>
        <v>7.4492062743803988E-2</v>
      </c>
    </row>
    <row r="11" spans="1:27" x14ac:dyDescent="0.25">
      <c r="A11" s="6" t="s">
        <v>12</v>
      </c>
      <c r="B11" s="10">
        <v>3.84</v>
      </c>
      <c r="C11" s="10">
        <v>5.12</v>
      </c>
      <c r="D11" s="10"/>
      <c r="E11" s="10">
        <v>9.0300000000000011</v>
      </c>
      <c r="F11" s="10">
        <v>0.08</v>
      </c>
      <c r="G11" s="10">
        <v>0.04</v>
      </c>
      <c r="H11" s="10"/>
      <c r="I11" s="10">
        <v>1.44</v>
      </c>
      <c r="J11" s="10">
        <v>0.55000000000000004</v>
      </c>
      <c r="K11" s="10"/>
      <c r="L11" s="10"/>
      <c r="M11" s="10"/>
      <c r="N11" s="10">
        <v>3.37</v>
      </c>
      <c r="O11" s="10">
        <v>5.9499999999999993</v>
      </c>
      <c r="P11" s="10">
        <v>9.02</v>
      </c>
      <c r="Q11" s="10">
        <v>3.96</v>
      </c>
      <c r="R11" s="10">
        <v>8.77</v>
      </c>
      <c r="S11" s="10">
        <v>19.059999999999999</v>
      </c>
      <c r="T11" s="10">
        <v>20.599999999999998</v>
      </c>
      <c r="U11" s="10">
        <v>14.69</v>
      </c>
      <c r="V11" s="10">
        <v>21.189999999999998</v>
      </c>
      <c r="W11" s="10">
        <v>6.6</v>
      </c>
      <c r="X11" s="10"/>
      <c r="Y11" s="10">
        <v>133.31</v>
      </c>
      <c r="Z11" s="19">
        <f t="shared" si="0"/>
        <v>4.9095936501950431E-3</v>
      </c>
    </row>
    <row r="12" spans="1:27" x14ac:dyDescent="0.25">
      <c r="A12" s="14" t="s">
        <v>43</v>
      </c>
      <c r="B12" s="40"/>
      <c r="C12" s="40">
        <v>0.13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>
        <v>0.13</v>
      </c>
      <c r="Z12" s="66">
        <f t="shared" si="0"/>
        <v>4.7876916549797888E-6</v>
      </c>
    </row>
    <row r="13" spans="1:27" x14ac:dyDescent="0.25">
      <c r="A13" s="6" t="s">
        <v>44</v>
      </c>
      <c r="B13" s="10"/>
      <c r="C13" s="10">
        <v>0.13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>
        <v>0.13</v>
      </c>
      <c r="Z13" s="19">
        <f t="shared" si="0"/>
        <v>4.7876916549797888E-6</v>
      </c>
    </row>
    <row r="14" spans="1:27" x14ac:dyDescent="0.25">
      <c r="A14" s="14" t="s">
        <v>13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>
        <v>0.05</v>
      </c>
      <c r="U14" s="40"/>
      <c r="V14" s="40"/>
      <c r="W14" s="40"/>
      <c r="X14" s="40"/>
      <c r="Y14" s="40">
        <v>0.05</v>
      </c>
      <c r="Z14" s="66">
        <f t="shared" si="0"/>
        <v>1.8414198672999189E-6</v>
      </c>
    </row>
    <row r="15" spans="1:27" x14ac:dyDescent="0.25">
      <c r="A15" s="6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>
        <v>0.05</v>
      </c>
      <c r="U15" s="10"/>
      <c r="V15" s="10"/>
      <c r="W15" s="10"/>
      <c r="X15" s="10"/>
      <c r="Y15" s="10">
        <v>0.05</v>
      </c>
      <c r="Z15" s="19">
        <f t="shared" si="0"/>
        <v>1.8414198672999189E-6</v>
      </c>
    </row>
    <row r="16" spans="1:27" x14ac:dyDescent="0.25">
      <c r="A16" s="14" t="s">
        <v>14</v>
      </c>
      <c r="B16" s="40">
        <f>SUM(B17:B19)</f>
        <v>2948.8099999999995</v>
      </c>
      <c r="C16" s="40">
        <f t="shared" ref="C16:Y16" si="1">SUM(C17:C19)</f>
        <v>804.87999999999988</v>
      </c>
      <c r="D16" s="40">
        <f t="shared" si="1"/>
        <v>82.160000000000011</v>
      </c>
      <c r="E16" s="40">
        <f t="shared" si="1"/>
        <v>122.25</v>
      </c>
      <c r="F16" s="40">
        <f t="shared" si="1"/>
        <v>74.759999999999991</v>
      </c>
      <c r="G16" s="40">
        <f t="shared" si="1"/>
        <v>111.29999999999998</v>
      </c>
      <c r="H16" s="40">
        <f t="shared" si="1"/>
        <v>439</v>
      </c>
      <c r="I16" s="40">
        <f t="shared" si="1"/>
        <v>67.009999999999991</v>
      </c>
      <c r="J16" s="40">
        <f t="shared" si="1"/>
        <v>170.04999999999998</v>
      </c>
      <c r="K16" s="40">
        <f t="shared" si="1"/>
        <v>227.51000000000002</v>
      </c>
      <c r="L16" s="40">
        <f t="shared" si="1"/>
        <v>89.3</v>
      </c>
      <c r="M16" s="40">
        <f t="shared" si="1"/>
        <v>591.16</v>
      </c>
      <c r="N16" s="40">
        <f t="shared" si="1"/>
        <v>158.01999999999998</v>
      </c>
      <c r="O16" s="40">
        <f t="shared" si="1"/>
        <v>226.04999999999998</v>
      </c>
      <c r="P16" s="40">
        <f t="shared" si="1"/>
        <v>317.58999999999997</v>
      </c>
      <c r="Q16" s="40">
        <f t="shared" si="1"/>
        <v>375.18999999999994</v>
      </c>
      <c r="R16" s="40">
        <f t="shared" si="1"/>
        <v>466.89000000000004</v>
      </c>
      <c r="S16" s="40">
        <f t="shared" si="1"/>
        <v>391.31</v>
      </c>
      <c r="T16" s="40">
        <f t="shared" si="1"/>
        <v>436.87</v>
      </c>
      <c r="U16" s="40">
        <f t="shared" si="1"/>
        <v>604.07000000000005</v>
      </c>
      <c r="V16" s="40">
        <f t="shared" si="1"/>
        <v>315.30999999999995</v>
      </c>
      <c r="W16" s="40">
        <f t="shared" si="1"/>
        <v>103.06</v>
      </c>
      <c r="X16" s="40">
        <f t="shared" si="1"/>
        <v>126.67999999999999</v>
      </c>
      <c r="Y16" s="40">
        <f t="shared" si="1"/>
        <v>9249.23</v>
      </c>
      <c r="Z16" s="66">
        <f t="shared" si="0"/>
        <v>0.34063431758452856</v>
      </c>
      <c r="AA16" s="197">
        <f>SUM(C16:X16)</f>
        <v>6300.420000000001</v>
      </c>
    </row>
    <row r="17" spans="1:26" x14ac:dyDescent="0.25">
      <c r="A17" s="6" t="s">
        <v>15</v>
      </c>
      <c r="B17" s="10">
        <v>2926.2699999999995</v>
      </c>
      <c r="C17" s="10">
        <v>800.83999999999992</v>
      </c>
      <c r="D17" s="10">
        <v>82.15</v>
      </c>
      <c r="E17" s="10">
        <v>119.62</v>
      </c>
      <c r="F17" s="10">
        <v>74.13</v>
      </c>
      <c r="G17" s="10">
        <v>110.39999999999999</v>
      </c>
      <c r="H17" s="10">
        <v>437.76</v>
      </c>
      <c r="I17" s="10">
        <v>66.849999999999994</v>
      </c>
      <c r="J17" s="10">
        <v>169.88</v>
      </c>
      <c r="K17" s="10">
        <v>226.19</v>
      </c>
      <c r="L17" s="10">
        <v>88.06</v>
      </c>
      <c r="M17" s="10">
        <v>589.51</v>
      </c>
      <c r="N17" s="10">
        <v>153.72999999999999</v>
      </c>
      <c r="O17" s="10">
        <v>224.32</v>
      </c>
      <c r="P17" s="10">
        <v>315.95999999999998</v>
      </c>
      <c r="Q17" s="10">
        <v>371.32</v>
      </c>
      <c r="R17" s="10">
        <v>460.97</v>
      </c>
      <c r="S17" s="10">
        <v>371.81</v>
      </c>
      <c r="T17" s="10">
        <v>401.5</v>
      </c>
      <c r="U17" s="10">
        <v>580.2700000000001</v>
      </c>
      <c r="V17" s="10">
        <v>296.91999999999996</v>
      </c>
      <c r="W17" s="10">
        <v>99.16</v>
      </c>
      <c r="X17" s="10">
        <v>124.18999999999998</v>
      </c>
      <c r="Y17" s="10">
        <v>9091.81</v>
      </c>
      <c r="Z17" s="19">
        <f t="shared" si="0"/>
        <v>0.33483679127432148</v>
      </c>
    </row>
    <row r="18" spans="1:26" x14ac:dyDescent="0.25">
      <c r="A18" s="6" t="s">
        <v>16</v>
      </c>
      <c r="B18" s="10">
        <v>11.149999999999999</v>
      </c>
      <c r="C18" s="10">
        <v>1.1100000000000001</v>
      </c>
      <c r="D18" s="10">
        <v>0.01</v>
      </c>
      <c r="E18" s="10">
        <v>2.3200000000000003</v>
      </c>
      <c r="F18" s="10"/>
      <c r="G18" s="10">
        <v>0.13</v>
      </c>
      <c r="H18" s="10"/>
      <c r="I18" s="10"/>
      <c r="J18" s="10">
        <v>0.13</v>
      </c>
      <c r="K18" s="10">
        <v>1.1100000000000001</v>
      </c>
      <c r="L18" s="10"/>
      <c r="M18" s="10"/>
      <c r="N18" s="10"/>
      <c r="O18" s="10">
        <v>0.41000000000000003</v>
      </c>
      <c r="P18" s="10">
        <v>0.49</v>
      </c>
      <c r="Q18" s="10">
        <v>0.28000000000000003</v>
      </c>
      <c r="R18" s="10">
        <v>0.90999999999999992</v>
      </c>
      <c r="S18" s="10">
        <v>6.95</v>
      </c>
      <c r="T18" s="10">
        <v>8.7200000000000006</v>
      </c>
      <c r="U18" s="10">
        <v>1.04</v>
      </c>
      <c r="V18" s="10">
        <v>3.12</v>
      </c>
      <c r="W18" s="10"/>
      <c r="X18" s="10">
        <v>0.4</v>
      </c>
      <c r="Y18" s="10">
        <v>38.279999999999994</v>
      </c>
      <c r="Z18" s="19">
        <f t="shared" si="0"/>
        <v>1.4097910504048176E-3</v>
      </c>
    </row>
    <row r="19" spans="1:26" x14ac:dyDescent="0.25">
      <c r="A19" s="6" t="s">
        <v>17</v>
      </c>
      <c r="B19" s="10">
        <v>11.39</v>
      </c>
      <c r="C19" s="10">
        <v>2.93</v>
      </c>
      <c r="D19" s="10"/>
      <c r="E19" s="10">
        <v>0.31</v>
      </c>
      <c r="F19" s="10">
        <v>0.63</v>
      </c>
      <c r="G19" s="10">
        <v>0.77</v>
      </c>
      <c r="H19" s="10">
        <v>1.24</v>
      </c>
      <c r="I19" s="10">
        <v>0.16</v>
      </c>
      <c r="J19" s="10">
        <v>0.04</v>
      </c>
      <c r="K19" s="10">
        <v>0.21</v>
      </c>
      <c r="L19" s="10">
        <v>1.24</v>
      </c>
      <c r="M19" s="10">
        <v>1.65</v>
      </c>
      <c r="N19" s="10">
        <v>4.29</v>
      </c>
      <c r="O19" s="10">
        <v>1.32</v>
      </c>
      <c r="P19" s="10">
        <v>1.1400000000000001</v>
      </c>
      <c r="Q19" s="10">
        <v>3.5899999999999994</v>
      </c>
      <c r="R19" s="10">
        <v>5.0100000000000007</v>
      </c>
      <c r="S19" s="10">
        <v>12.55</v>
      </c>
      <c r="T19" s="10">
        <v>26.650000000000002</v>
      </c>
      <c r="U19" s="10">
        <v>22.759999999999998</v>
      </c>
      <c r="V19" s="10">
        <v>15.27</v>
      </c>
      <c r="W19" s="10">
        <v>3.9000000000000004</v>
      </c>
      <c r="X19" s="10">
        <v>2.09</v>
      </c>
      <c r="Y19" s="10">
        <v>119.14000000000001</v>
      </c>
      <c r="Z19" s="19">
        <f t="shared" si="0"/>
        <v>4.3877352598022468E-3</v>
      </c>
    </row>
    <row r="20" spans="1:26" x14ac:dyDescent="0.25">
      <c r="A20" s="14" t="s">
        <v>39</v>
      </c>
      <c r="B20" s="40"/>
      <c r="C20" s="40"/>
      <c r="D20" s="40"/>
      <c r="E20" s="40"/>
      <c r="F20" s="40"/>
      <c r="G20" s="40"/>
      <c r="H20" s="40"/>
      <c r="I20" s="40"/>
      <c r="J20" s="40"/>
      <c r="K20" s="40">
        <v>0.28000000000000003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v>0.28000000000000003</v>
      </c>
      <c r="Z20" s="66">
        <f t="shared" si="0"/>
        <v>1.0311951256879546E-5</v>
      </c>
    </row>
    <row r="21" spans="1:26" x14ac:dyDescent="0.25">
      <c r="A21" s="6" t="s">
        <v>45</v>
      </c>
      <c r="B21" s="10"/>
      <c r="C21" s="10"/>
      <c r="D21" s="10"/>
      <c r="E21" s="10"/>
      <c r="F21" s="10"/>
      <c r="G21" s="10"/>
      <c r="H21" s="10"/>
      <c r="I21" s="10"/>
      <c r="J21" s="10"/>
      <c r="K21" s="10">
        <v>0.28000000000000003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>
        <v>0.28000000000000003</v>
      </c>
      <c r="Z21" s="19">
        <f t="shared" si="0"/>
        <v>1.0311951256879546E-5</v>
      </c>
    </row>
    <row r="22" spans="1:26" x14ac:dyDescent="0.25">
      <c r="A22" s="14" t="s">
        <v>18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>
        <v>0.42000000000000004</v>
      </c>
      <c r="Y22" s="40">
        <v>0.42000000000000004</v>
      </c>
      <c r="Z22" s="66">
        <f t="shared" si="0"/>
        <v>1.546792688531932E-5</v>
      </c>
    </row>
    <row r="23" spans="1:26" x14ac:dyDescent="0.25">
      <c r="A23" s="6" t="s">
        <v>18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v>0.42000000000000004</v>
      </c>
      <c r="Y23" s="10">
        <v>0.42000000000000004</v>
      </c>
      <c r="Z23" s="19">
        <f t="shared" si="0"/>
        <v>1.546792688531932E-5</v>
      </c>
    </row>
    <row r="24" spans="1:26" x14ac:dyDescent="0.25">
      <c r="A24" s="14" t="s">
        <v>19</v>
      </c>
      <c r="B24" s="40">
        <f>SUM(B25:B26)</f>
        <v>4.55</v>
      </c>
      <c r="C24" s="40">
        <f t="shared" ref="C24:Y24" si="2">SUM(C25:C26)</f>
        <v>1.4000000000000001</v>
      </c>
      <c r="D24" s="40">
        <f t="shared" si="2"/>
        <v>0.04</v>
      </c>
      <c r="E24" s="40">
        <f t="shared" si="2"/>
        <v>0.19</v>
      </c>
      <c r="F24" s="40">
        <f t="shared" si="2"/>
        <v>0</v>
      </c>
      <c r="G24" s="40">
        <f t="shared" si="2"/>
        <v>0.1</v>
      </c>
      <c r="H24" s="40">
        <f t="shared" si="2"/>
        <v>0.57999999999999996</v>
      </c>
      <c r="I24" s="40">
        <f t="shared" si="2"/>
        <v>0</v>
      </c>
      <c r="J24" s="40">
        <f t="shared" si="2"/>
        <v>0</v>
      </c>
      <c r="K24" s="40">
        <f t="shared" si="2"/>
        <v>0</v>
      </c>
      <c r="L24" s="40">
        <f t="shared" si="2"/>
        <v>0.24</v>
      </c>
      <c r="M24" s="40">
        <f t="shared" si="2"/>
        <v>0.74</v>
      </c>
      <c r="N24" s="40">
        <f t="shared" si="2"/>
        <v>0.54</v>
      </c>
      <c r="O24" s="40">
        <f t="shared" si="2"/>
        <v>0.16999999999999998</v>
      </c>
      <c r="P24" s="40">
        <f t="shared" si="2"/>
        <v>0</v>
      </c>
      <c r="Q24" s="40">
        <f t="shared" si="2"/>
        <v>0.13</v>
      </c>
      <c r="R24" s="40">
        <f t="shared" si="2"/>
        <v>0.19</v>
      </c>
      <c r="S24" s="40">
        <f t="shared" si="2"/>
        <v>1.1100000000000001</v>
      </c>
      <c r="T24" s="40">
        <f t="shared" si="2"/>
        <v>1.1400000000000001</v>
      </c>
      <c r="U24" s="40">
        <f t="shared" si="2"/>
        <v>18.91</v>
      </c>
      <c r="V24" s="40">
        <f t="shared" si="2"/>
        <v>2.62</v>
      </c>
      <c r="W24" s="40">
        <f t="shared" si="2"/>
        <v>0.76</v>
      </c>
      <c r="X24" s="40">
        <f t="shared" si="2"/>
        <v>0</v>
      </c>
      <c r="Y24" s="40">
        <f t="shared" si="2"/>
        <v>33.410000000000004</v>
      </c>
      <c r="Z24" s="66">
        <f t="shared" si="0"/>
        <v>1.2304367553298058E-3</v>
      </c>
    </row>
    <row r="25" spans="1:26" x14ac:dyDescent="0.25">
      <c r="A25" s="6" t="s">
        <v>20</v>
      </c>
      <c r="B25" s="10">
        <v>0.1</v>
      </c>
      <c r="C25" s="10">
        <v>0.03</v>
      </c>
      <c r="D25" s="10"/>
      <c r="E25" s="10"/>
      <c r="F25" s="10"/>
      <c r="G25" s="10"/>
      <c r="H25" s="10">
        <v>0.42</v>
      </c>
      <c r="I25" s="10"/>
      <c r="J25" s="10"/>
      <c r="K25" s="10"/>
      <c r="L25" s="10">
        <v>0.02</v>
      </c>
      <c r="M25" s="10"/>
      <c r="N25" s="10"/>
      <c r="O25" s="10"/>
      <c r="P25" s="10"/>
      <c r="Q25" s="10">
        <v>0.01</v>
      </c>
      <c r="R25" s="10">
        <v>0.01</v>
      </c>
      <c r="S25" s="10">
        <v>0.04</v>
      </c>
      <c r="T25" s="10">
        <v>0.05</v>
      </c>
      <c r="U25" s="10"/>
      <c r="V25" s="10"/>
      <c r="W25" s="10">
        <v>0.31</v>
      </c>
      <c r="X25" s="10"/>
      <c r="Y25" s="10">
        <v>0.99000000000000021</v>
      </c>
      <c r="Z25" s="19">
        <f t="shared" si="0"/>
        <v>3.6460113372538401E-5</v>
      </c>
    </row>
    <row r="26" spans="1:26" x14ac:dyDescent="0.25">
      <c r="A26" s="6" t="s">
        <v>22</v>
      </c>
      <c r="B26" s="10">
        <v>4.45</v>
      </c>
      <c r="C26" s="10">
        <v>1.37</v>
      </c>
      <c r="D26" s="10">
        <v>0.04</v>
      </c>
      <c r="E26" s="10">
        <v>0.19</v>
      </c>
      <c r="F26" s="10"/>
      <c r="G26" s="10">
        <v>0.1</v>
      </c>
      <c r="H26" s="10">
        <v>0.16</v>
      </c>
      <c r="I26" s="10"/>
      <c r="J26" s="10"/>
      <c r="K26" s="10"/>
      <c r="L26" s="10">
        <v>0.22</v>
      </c>
      <c r="M26" s="10">
        <v>0.74</v>
      </c>
      <c r="N26" s="10">
        <v>0.54</v>
      </c>
      <c r="O26" s="10">
        <v>0.16999999999999998</v>
      </c>
      <c r="P26" s="10"/>
      <c r="Q26" s="10">
        <v>0.12</v>
      </c>
      <c r="R26" s="10">
        <v>0.18</v>
      </c>
      <c r="S26" s="10">
        <v>1.07</v>
      </c>
      <c r="T26" s="10">
        <v>1.0900000000000001</v>
      </c>
      <c r="U26" s="10">
        <v>18.91</v>
      </c>
      <c r="V26" s="10">
        <v>2.62</v>
      </c>
      <c r="W26" s="10">
        <v>0.44999999999999996</v>
      </c>
      <c r="X26" s="10"/>
      <c r="Y26" s="10">
        <v>32.42</v>
      </c>
      <c r="Z26" s="19">
        <f t="shared" si="0"/>
        <v>1.1939766419572673E-3</v>
      </c>
    </row>
    <row r="27" spans="1:26" x14ac:dyDescent="0.25">
      <c r="A27" s="14" t="s">
        <v>23</v>
      </c>
      <c r="B27" s="40">
        <v>0.43000000000000005</v>
      </c>
      <c r="C27" s="40">
        <v>0.03</v>
      </c>
      <c r="D27" s="40"/>
      <c r="E27" s="40"/>
      <c r="F27" s="40"/>
      <c r="G27" s="40">
        <v>0.03</v>
      </c>
      <c r="H27" s="40"/>
      <c r="I27" s="40"/>
      <c r="J27" s="40"/>
      <c r="K27" s="40">
        <v>0.03</v>
      </c>
      <c r="L27" s="40"/>
      <c r="M27" s="40">
        <v>0.01</v>
      </c>
      <c r="N27" s="40"/>
      <c r="O27" s="40">
        <v>0.25</v>
      </c>
      <c r="P27" s="40"/>
      <c r="Q27" s="40"/>
      <c r="R27" s="40"/>
      <c r="S27" s="40"/>
      <c r="T27" s="40"/>
      <c r="U27" s="40">
        <v>0.02</v>
      </c>
      <c r="V27" s="40"/>
      <c r="W27" s="40"/>
      <c r="X27" s="40"/>
      <c r="Y27" s="40">
        <v>0.8</v>
      </c>
      <c r="Z27" s="66">
        <f t="shared" si="0"/>
        <v>2.9462717876798703E-5</v>
      </c>
    </row>
    <row r="28" spans="1:26" x14ac:dyDescent="0.25">
      <c r="A28" s="6" t="s">
        <v>24</v>
      </c>
      <c r="B28" s="10"/>
      <c r="C28" s="10"/>
      <c r="D28" s="10"/>
      <c r="E28" s="10"/>
      <c r="F28" s="10"/>
      <c r="G28" s="10">
        <v>0.03</v>
      </c>
      <c r="H28" s="10"/>
      <c r="I28" s="10"/>
      <c r="J28" s="10"/>
      <c r="K28" s="10"/>
      <c r="L28" s="10"/>
      <c r="M28" s="10"/>
      <c r="N28" s="10"/>
      <c r="O28" s="10">
        <v>0.25</v>
      </c>
      <c r="P28" s="10"/>
      <c r="Q28" s="10"/>
      <c r="R28" s="10"/>
      <c r="S28" s="10"/>
      <c r="T28" s="10"/>
      <c r="U28" s="10"/>
      <c r="V28" s="10"/>
      <c r="W28" s="10"/>
      <c r="X28" s="10"/>
      <c r="Y28" s="10">
        <v>0.28000000000000003</v>
      </c>
      <c r="Z28" s="19">
        <f t="shared" si="0"/>
        <v>1.0311951256879546E-5</v>
      </c>
    </row>
    <row r="29" spans="1:26" x14ac:dyDescent="0.25">
      <c r="A29" s="6" t="s">
        <v>25</v>
      </c>
      <c r="B29" s="10">
        <v>0.43000000000000005</v>
      </c>
      <c r="C29" s="10">
        <v>0.03</v>
      </c>
      <c r="D29" s="10"/>
      <c r="E29" s="10"/>
      <c r="F29" s="10"/>
      <c r="G29" s="10"/>
      <c r="H29" s="10"/>
      <c r="I29" s="10"/>
      <c r="J29" s="10"/>
      <c r="K29" s="10">
        <v>0.03</v>
      </c>
      <c r="L29" s="10"/>
      <c r="M29" s="10">
        <v>0.01</v>
      </c>
      <c r="N29" s="10"/>
      <c r="O29" s="10"/>
      <c r="P29" s="10"/>
      <c r="Q29" s="10"/>
      <c r="R29" s="10"/>
      <c r="S29" s="10"/>
      <c r="T29" s="10"/>
      <c r="U29" s="10">
        <v>0.02</v>
      </c>
      <c r="V29" s="10"/>
      <c r="W29" s="10"/>
      <c r="X29" s="10"/>
      <c r="Y29" s="10">
        <v>0.52</v>
      </c>
      <c r="Z29" s="19">
        <f t="shared" si="0"/>
        <v>1.9150766619919155E-5</v>
      </c>
    </row>
    <row r="30" spans="1:26" x14ac:dyDescent="0.25">
      <c r="A30" s="14" t="s">
        <v>26</v>
      </c>
      <c r="B30" s="40"/>
      <c r="C30" s="40"/>
      <c r="D30" s="40"/>
      <c r="E30" s="40"/>
      <c r="F30" s="40"/>
      <c r="G30" s="40"/>
      <c r="H30" s="40"/>
      <c r="I30" s="40"/>
      <c r="J30" s="40"/>
      <c r="K30" s="40">
        <v>0.02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>
        <v>0.02</v>
      </c>
      <c r="Z30" s="66">
        <f t="shared" si="0"/>
        <v>7.3656794691996751E-7</v>
      </c>
    </row>
    <row r="31" spans="1:26" x14ac:dyDescent="0.25">
      <c r="A31" s="6" t="s">
        <v>46</v>
      </c>
      <c r="B31" s="10"/>
      <c r="C31" s="10"/>
      <c r="D31" s="10"/>
      <c r="E31" s="10"/>
      <c r="F31" s="10"/>
      <c r="G31" s="10"/>
      <c r="H31" s="10"/>
      <c r="I31" s="10"/>
      <c r="J31" s="10"/>
      <c r="K31" s="10">
        <v>0.02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>
        <v>0.02</v>
      </c>
      <c r="Z31" s="19">
        <f t="shared" si="0"/>
        <v>7.3656794691996751E-7</v>
      </c>
    </row>
    <row r="32" spans="1:26" x14ac:dyDescent="0.25">
      <c r="A32" s="14" t="s">
        <v>28</v>
      </c>
      <c r="B32" s="40">
        <v>18.170000000000002</v>
      </c>
      <c r="C32" s="40">
        <v>4.91</v>
      </c>
      <c r="D32" s="40"/>
      <c r="E32" s="40">
        <v>5.98</v>
      </c>
      <c r="F32" s="40">
        <v>0.03</v>
      </c>
      <c r="G32" s="40">
        <v>0.33</v>
      </c>
      <c r="H32" s="40"/>
      <c r="I32" s="40">
        <v>3.36</v>
      </c>
      <c r="J32" s="40"/>
      <c r="K32" s="40">
        <v>1.84</v>
      </c>
      <c r="L32" s="40"/>
      <c r="M32" s="40"/>
      <c r="N32" s="40"/>
      <c r="O32" s="40">
        <v>0.18</v>
      </c>
      <c r="P32" s="40">
        <v>1.6</v>
      </c>
      <c r="Q32" s="40"/>
      <c r="R32" s="40">
        <v>5.57</v>
      </c>
      <c r="S32" s="40"/>
      <c r="T32" s="40">
        <v>1.81</v>
      </c>
      <c r="U32" s="40">
        <v>3.72</v>
      </c>
      <c r="V32" s="40"/>
      <c r="W32" s="40"/>
      <c r="X32" s="40">
        <v>0.15</v>
      </c>
      <c r="Y32" s="40">
        <v>47.650000000000006</v>
      </c>
      <c r="Z32" s="66">
        <f t="shared" si="0"/>
        <v>1.7548731335368228E-3</v>
      </c>
    </row>
    <row r="33" spans="1:27" x14ac:dyDescent="0.25">
      <c r="A33" s="6" t="s">
        <v>28</v>
      </c>
      <c r="B33" s="10">
        <v>18.170000000000002</v>
      </c>
      <c r="C33" s="10">
        <v>4.91</v>
      </c>
      <c r="D33" s="10"/>
      <c r="E33" s="10">
        <v>5.98</v>
      </c>
      <c r="F33" s="10">
        <v>0.03</v>
      </c>
      <c r="G33" s="10">
        <v>0.33</v>
      </c>
      <c r="H33" s="10"/>
      <c r="I33" s="10">
        <v>3.36</v>
      </c>
      <c r="J33" s="10"/>
      <c r="K33" s="10">
        <v>1.84</v>
      </c>
      <c r="L33" s="10"/>
      <c r="M33" s="10"/>
      <c r="N33" s="10"/>
      <c r="O33" s="10">
        <v>0.18</v>
      </c>
      <c r="P33" s="10">
        <v>1.6</v>
      </c>
      <c r="Q33" s="10"/>
      <c r="R33" s="10">
        <v>5.57</v>
      </c>
      <c r="S33" s="10"/>
      <c r="T33" s="10">
        <v>1.81</v>
      </c>
      <c r="U33" s="10">
        <v>3.72</v>
      </c>
      <c r="V33" s="10"/>
      <c r="W33" s="10"/>
      <c r="X33" s="10">
        <v>0.15</v>
      </c>
      <c r="Y33" s="10">
        <v>47.650000000000006</v>
      </c>
      <c r="Z33" s="19">
        <f t="shared" si="0"/>
        <v>1.7548731335368228E-3</v>
      </c>
    </row>
    <row r="34" spans="1:27" x14ac:dyDescent="0.25">
      <c r="A34" s="14" t="s">
        <v>29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>
        <v>52.93</v>
      </c>
      <c r="Y34" s="40">
        <v>52.93</v>
      </c>
      <c r="Z34" s="66">
        <f t="shared" si="0"/>
        <v>1.9493270715236939E-3</v>
      </c>
    </row>
    <row r="35" spans="1:27" x14ac:dyDescent="0.25">
      <c r="A35" s="6" t="s">
        <v>30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v>44.83</v>
      </c>
      <c r="Y35" s="10">
        <v>44.83</v>
      </c>
      <c r="Z35" s="19">
        <f t="shared" si="0"/>
        <v>1.6510170530211071E-3</v>
      </c>
    </row>
    <row r="36" spans="1:27" x14ac:dyDescent="0.25">
      <c r="A36" s="6" t="s"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8.1</v>
      </c>
      <c r="Y36" s="10">
        <v>8.1</v>
      </c>
      <c r="Z36" s="19">
        <f t="shared" si="0"/>
        <v>2.9831001850258681E-4</v>
      </c>
    </row>
    <row r="37" spans="1:27" x14ac:dyDescent="0.25">
      <c r="A37" s="14" t="s">
        <v>32</v>
      </c>
      <c r="B37" s="40">
        <v>5108.78</v>
      </c>
      <c r="C37" s="40">
        <v>1335.46</v>
      </c>
      <c r="D37" s="40">
        <v>406.90000000000003</v>
      </c>
      <c r="E37" s="40">
        <v>228.71</v>
      </c>
      <c r="F37" s="40">
        <v>273.84000000000003</v>
      </c>
      <c r="G37" s="40">
        <v>261.94</v>
      </c>
      <c r="H37" s="40">
        <v>386.01</v>
      </c>
      <c r="I37" s="40">
        <v>124.32</v>
      </c>
      <c r="J37" s="40">
        <v>123.17999999999999</v>
      </c>
      <c r="K37" s="40">
        <v>57.16</v>
      </c>
      <c r="L37" s="40">
        <v>189.84</v>
      </c>
      <c r="M37" s="40">
        <v>387.58000000000004</v>
      </c>
      <c r="N37" s="40">
        <v>366.42</v>
      </c>
      <c r="O37" s="40">
        <v>281.23</v>
      </c>
      <c r="P37" s="40">
        <v>461.18999999999994</v>
      </c>
      <c r="Q37" s="40">
        <v>682.15000000000009</v>
      </c>
      <c r="R37" s="40">
        <v>867.4</v>
      </c>
      <c r="S37" s="40">
        <v>650.33000000000004</v>
      </c>
      <c r="T37" s="40">
        <v>675.44</v>
      </c>
      <c r="U37" s="40">
        <v>680.93</v>
      </c>
      <c r="V37" s="40">
        <v>581.5100000000001</v>
      </c>
      <c r="W37" s="40">
        <v>140.56</v>
      </c>
      <c r="X37" s="40">
        <v>213.95999999999998</v>
      </c>
      <c r="Y37" s="40">
        <v>14484.839999999998</v>
      </c>
      <c r="Z37" s="66">
        <f t="shared" si="0"/>
        <v>0.53345344301321107</v>
      </c>
      <c r="AA37" s="197">
        <f>SUM(C37:X37)</f>
        <v>9376.06</v>
      </c>
    </row>
    <row r="38" spans="1:27" x14ac:dyDescent="0.25">
      <c r="A38" s="6" t="s">
        <v>32</v>
      </c>
      <c r="B38" s="10">
        <v>5108.78</v>
      </c>
      <c r="C38" s="10">
        <v>1335.46</v>
      </c>
      <c r="D38" s="10">
        <v>406.90000000000003</v>
      </c>
      <c r="E38" s="10">
        <v>228.71</v>
      </c>
      <c r="F38" s="10">
        <v>273.84000000000003</v>
      </c>
      <c r="G38" s="10">
        <v>261.94</v>
      </c>
      <c r="H38" s="10">
        <v>386.01</v>
      </c>
      <c r="I38" s="10">
        <v>124.32</v>
      </c>
      <c r="J38" s="10">
        <v>123.17999999999999</v>
      </c>
      <c r="K38" s="10">
        <v>57.16</v>
      </c>
      <c r="L38" s="10">
        <v>189.84</v>
      </c>
      <c r="M38" s="10">
        <v>387.58000000000004</v>
      </c>
      <c r="N38" s="10">
        <v>366.42</v>
      </c>
      <c r="O38" s="10">
        <v>281.23</v>
      </c>
      <c r="P38" s="10">
        <v>461.18999999999994</v>
      </c>
      <c r="Q38" s="10">
        <v>682.15000000000009</v>
      </c>
      <c r="R38" s="10">
        <v>867.4</v>
      </c>
      <c r="S38" s="10">
        <v>650.33000000000004</v>
      </c>
      <c r="T38" s="10">
        <v>675.44</v>
      </c>
      <c r="U38" s="10">
        <v>680.93</v>
      </c>
      <c r="V38" s="10">
        <v>581.5100000000001</v>
      </c>
      <c r="W38" s="10">
        <v>140.56</v>
      </c>
      <c r="X38" s="10">
        <v>213.95999999999998</v>
      </c>
      <c r="Y38" s="10">
        <v>14484.839999999998</v>
      </c>
      <c r="Z38" s="19">
        <f t="shared" si="0"/>
        <v>0.53345344301321107</v>
      </c>
    </row>
    <row r="39" spans="1:27" x14ac:dyDescent="0.25">
      <c r="A39" s="39" t="s">
        <v>33</v>
      </c>
      <c r="B39" s="41">
        <v>9760.7400000000016</v>
      </c>
      <c r="C39" s="41">
        <v>2388.66</v>
      </c>
      <c r="D39" s="41">
        <v>553.43000000000006</v>
      </c>
      <c r="E39" s="41">
        <v>445.33999999999992</v>
      </c>
      <c r="F39" s="41">
        <v>396.46</v>
      </c>
      <c r="G39" s="41">
        <v>424.09000000000009</v>
      </c>
      <c r="H39" s="41">
        <v>855.99</v>
      </c>
      <c r="I39" s="41">
        <v>202.19000000000003</v>
      </c>
      <c r="J39" s="41">
        <v>295.96000000000004</v>
      </c>
      <c r="K39" s="41">
        <v>310.56</v>
      </c>
      <c r="L39" s="41">
        <v>300.73000000000008</v>
      </c>
      <c r="M39" s="41">
        <v>1041.92</v>
      </c>
      <c r="N39" s="41">
        <v>539.64</v>
      </c>
      <c r="O39" s="41">
        <v>568.47</v>
      </c>
      <c r="P39" s="41">
        <v>843.21999999999991</v>
      </c>
      <c r="Q39" s="41">
        <v>1205.07</v>
      </c>
      <c r="R39" s="41">
        <v>1479.94</v>
      </c>
      <c r="S39" s="41">
        <v>1131.56</v>
      </c>
      <c r="T39" s="41">
        <v>1255.03</v>
      </c>
      <c r="U39" s="41">
        <v>1418.9500000000003</v>
      </c>
      <c r="V39" s="41">
        <v>1029.31</v>
      </c>
      <c r="W39" s="41">
        <v>310.14000000000004</v>
      </c>
      <c r="X39" s="41">
        <v>395.56</v>
      </c>
      <c r="Y39" s="41">
        <v>27152.959999999999</v>
      </c>
      <c r="Z39" s="64">
        <f t="shared" si="0"/>
        <v>1</v>
      </c>
    </row>
    <row r="40" spans="1:27" x14ac:dyDescent="0.25">
      <c r="W40" s="131">
        <f>SUM(P39:V39)</f>
        <v>8363.08</v>
      </c>
      <c r="X40">
        <f>W40/Y39</f>
        <v>0.30799883327637206</v>
      </c>
    </row>
    <row r="43" spans="1:27" ht="15.75" x14ac:dyDescent="0.25">
      <c r="A43" s="67" t="s">
        <v>56</v>
      </c>
      <c r="B43" s="68" t="s">
        <v>188</v>
      </c>
      <c r="C43" s="68">
        <v>2000</v>
      </c>
      <c r="D43" s="68">
        <v>2001</v>
      </c>
      <c r="E43" s="68">
        <v>2002</v>
      </c>
      <c r="F43" s="68">
        <v>2003</v>
      </c>
      <c r="G43" s="68">
        <v>2004</v>
      </c>
      <c r="H43" s="68">
        <v>2005</v>
      </c>
      <c r="I43" s="68">
        <v>2006</v>
      </c>
      <c r="J43" s="68">
        <v>2007</v>
      </c>
      <c r="K43" s="68">
        <v>2008</v>
      </c>
      <c r="L43" s="68">
        <v>2009</v>
      </c>
      <c r="M43" s="68">
        <v>2010</v>
      </c>
      <c r="N43" s="68">
        <v>2011</v>
      </c>
      <c r="O43" s="68">
        <v>2012</v>
      </c>
      <c r="P43" s="68">
        <v>2013</v>
      </c>
      <c r="Q43" s="68">
        <v>2014</v>
      </c>
      <c r="R43" s="68">
        <v>2015</v>
      </c>
      <c r="S43" s="68">
        <v>2016</v>
      </c>
      <c r="T43" s="68">
        <v>2017</v>
      </c>
      <c r="U43" s="68">
        <v>2018</v>
      </c>
      <c r="V43" s="68">
        <v>2019</v>
      </c>
      <c r="W43" s="68">
        <v>2020</v>
      </c>
      <c r="X43" s="69" t="s">
        <v>53</v>
      </c>
    </row>
    <row r="44" spans="1:27" x14ac:dyDescent="0.25">
      <c r="A44" s="70" t="s">
        <v>96</v>
      </c>
      <c r="B44" s="19">
        <f>B4/$Y$4</f>
        <v>0.51172396147449595</v>
      </c>
      <c r="C44" s="19">
        <f t="shared" ref="C44:W44" si="3">C4/$Y$4</f>
        <v>7.3666928620599315E-2</v>
      </c>
      <c r="D44" s="19">
        <f t="shared" si="3"/>
        <v>1.9539935790826742E-2</v>
      </c>
      <c r="E44" s="19">
        <f t="shared" si="3"/>
        <v>2.6868553953372204E-2</v>
      </c>
      <c r="F44" s="19">
        <f t="shared" si="3"/>
        <v>1.4568903022217349E-2</v>
      </c>
      <c r="G44" s="19">
        <f t="shared" si="3"/>
        <v>1.5348672868273724E-2</v>
      </c>
      <c r="H44" s="19">
        <f t="shared" si="3"/>
        <v>9.2597669219194514E-3</v>
      </c>
      <c r="I44" s="19">
        <f t="shared" si="3"/>
        <v>2.284481970868286E-3</v>
      </c>
      <c r="J44" s="19">
        <f t="shared" si="3"/>
        <v>8.3155143739605626E-4</v>
      </c>
      <c r="K44" s="19">
        <f t="shared" si="3"/>
        <v>7.2250549798660987E-3</v>
      </c>
      <c r="L44" s="19">
        <f t="shared" si="3"/>
        <v>6.5031586770717209E-3</v>
      </c>
      <c r="M44" s="19">
        <f t="shared" si="3"/>
        <v>1.9016027925507609E-2</v>
      </c>
      <c r="N44" s="19">
        <f t="shared" si="3"/>
        <v>4.4654007590572099E-3</v>
      </c>
      <c r="O44" s="19">
        <f t="shared" si="3"/>
        <v>1.8455568348654593E-2</v>
      </c>
      <c r="P44" s="19">
        <f t="shared" si="3"/>
        <v>1.9140912939915076E-2</v>
      </c>
      <c r="Q44" s="19">
        <f t="shared" si="3"/>
        <v>4.4958605186687865E-2</v>
      </c>
      <c r="R44" s="19">
        <f t="shared" si="3"/>
        <v>4.2610157720635276E-2</v>
      </c>
      <c r="S44" s="19">
        <f t="shared" si="3"/>
        <v>2.7051312511041665E-2</v>
      </c>
      <c r="T44" s="19">
        <f t="shared" si="3"/>
        <v>4.255837612929559E-2</v>
      </c>
      <c r="U44" s="19">
        <f t="shared" si="3"/>
        <v>3.3901712447685362E-2</v>
      </c>
      <c r="V44" s="19">
        <f t="shared" si="3"/>
        <v>3.9558089807555243E-2</v>
      </c>
      <c r="W44" s="19">
        <f t="shared" si="3"/>
        <v>2.0030337920573134E-2</v>
      </c>
      <c r="X44" s="86">
        <f>X4/Y4</f>
        <v>4.3252858648439545E-4</v>
      </c>
    </row>
    <row r="45" spans="1:27" x14ac:dyDescent="0.25">
      <c r="A45" s="70" t="s">
        <v>98</v>
      </c>
      <c r="B45" s="19">
        <f>B12/$Y$12</f>
        <v>0</v>
      </c>
      <c r="C45" s="19">
        <f t="shared" ref="C45:W45" si="4">C12/$Y$12</f>
        <v>1</v>
      </c>
      <c r="D45" s="19">
        <f t="shared" si="4"/>
        <v>0</v>
      </c>
      <c r="E45" s="19">
        <f t="shared" si="4"/>
        <v>0</v>
      </c>
      <c r="F45" s="19">
        <f t="shared" si="4"/>
        <v>0</v>
      </c>
      <c r="G45" s="19">
        <f t="shared" si="4"/>
        <v>0</v>
      </c>
      <c r="H45" s="19">
        <f t="shared" si="4"/>
        <v>0</v>
      </c>
      <c r="I45" s="19">
        <f t="shared" si="4"/>
        <v>0</v>
      </c>
      <c r="J45" s="19">
        <f t="shared" si="4"/>
        <v>0</v>
      </c>
      <c r="K45" s="19">
        <f t="shared" si="4"/>
        <v>0</v>
      </c>
      <c r="L45" s="19">
        <f t="shared" si="4"/>
        <v>0</v>
      </c>
      <c r="M45" s="19">
        <f t="shared" si="4"/>
        <v>0</v>
      </c>
      <c r="N45" s="19">
        <f t="shared" si="4"/>
        <v>0</v>
      </c>
      <c r="O45" s="19">
        <f t="shared" si="4"/>
        <v>0</v>
      </c>
      <c r="P45" s="19">
        <f t="shared" si="4"/>
        <v>0</v>
      </c>
      <c r="Q45" s="19">
        <f t="shared" si="4"/>
        <v>0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</v>
      </c>
      <c r="V45" s="19">
        <f t="shared" si="4"/>
        <v>0</v>
      </c>
      <c r="W45" s="19">
        <f t="shared" si="4"/>
        <v>0</v>
      </c>
      <c r="X45" s="86">
        <f>X12/Y12</f>
        <v>0</v>
      </c>
    </row>
    <row r="46" spans="1:27" x14ac:dyDescent="0.25">
      <c r="A46" s="70" t="s">
        <v>13</v>
      </c>
      <c r="B46" s="19">
        <f>B14/$Y$14</f>
        <v>0</v>
      </c>
      <c r="C46" s="19">
        <f t="shared" ref="C46:W46" si="5">C14/$Y$14</f>
        <v>0</v>
      </c>
      <c r="D46" s="19">
        <f t="shared" si="5"/>
        <v>0</v>
      </c>
      <c r="E46" s="19">
        <f t="shared" si="5"/>
        <v>0</v>
      </c>
      <c r="F46" s="19">
        <f t="shared" si="5"/>
        <v>0</v>
      </c>
      <c r="G46" s="19">
        <f t="shared" si="5"/>
        <v>0</v>
      </c>
      <c r="H46" s="19">
        <f t="shared" si="5"/>
        <v>0</v>
      </c>
      <c r="I46" s="19">
        <f t="shared" si="5"/>
        <v>0</v>
      </c>
      <c r="J46" s="19">
        <f t="shared" si="5"/>
        <v>0</v>
      </c>
      <c r="K46" s="19">
        <f t="shared" si="5"/>
        <v>0</v>
      </c>
      <c r="L46" s="19">
        <f t="shared" si="5"/>
        <v>0</v>
      </c>
      <c r="M46" s="19">
        <f t="shared" si="5"/>
        <v>0</v>
      </c>
      <c r="N46" s="19">
        <f t="shared" si="5"/>
        <v>0</v>
      </c>
      <c r="O46" s="19">
        <f t="shared" si="5"/>
        <v>0</v>
      </c>
      <c r="P46" s="19">
        <f t="shared" si="5"/>
        <v>0</v>
      </c>
      <c r="Q46" s="19">
        <f t="shared" si="5"/>
        <v>0</v>
      </c>
      <c r="R46" s="19">
        <f t="shared" si="5"/>
        <v>0</v>
      </c>
      <c r="S46" s="19">
        <f t="shared" si="5"/>
        <v>0</v>
      </c>
      <c r="T46" s="19">
        <f t="shared" si="5"/>
        <v>1</v>
      </c>
      <c r="U46" s="19">
        <f t="shared" si="5"/>
        <v>0</v>
      </c>
      <c r="V46" s="19">
        <f t="shared" si="5"/>
        <v>0</v>
      </c>
      <c r="W46" s="19">
        <f t="shared" si="5"/>
        <v>0</v>
      </c>
      <c r="X46" s="86">
        <f>X14/Y14</f>
        <v>0</v>
      </c>
    </row>
    <row r="47" spans="1:27" x14ac:dyDescent="0.25">
      <c r="A47" s="70" t="s">
        <v>14</v>
      </c>
      <c r="B47" s="19">
        <f>B16/$Y$16</f>
        <v>0.31881680961550307</v>
      </c>
      <c r="C47" s="19">
        <f t="shared" ref="C47:W47" si="6">C16/$Y$16</f>
        <v>8.70212979891299E-2</v>
      </c>
      <c r="D47" s="19">
        <f t="shared" si="6"/>
        <v>8.8829016037010669E-3</v>
      </c>
      <c r="E47" s="19">
        <f t="shared" si="6"/>
        <v>1.3217316468506027E-2</v>
      </c>
      <c r="F47" s="19">
        <f t="shared" si="6"/>
        <v>8.0828350035624576E-3</v>
      </c>
      <c r="G47" s="19">
        <f t="shared" si="6"/>
        <v>1.2033434134517143E-2</v>
      </c>
      <c r="H47" s="19">
        <f t="shared" si="6"/>
        <v>4.7463410467682175E-2</v>
      </c>
      <c r="I47" s="19">
        <f t="shared" si="6"/>
        <v>7.2449274155794588E-3</v>
      </c>
      <c r="J47" s="19">
        <f t="shared" si="6"/>
        <v>1.8385314236968913E-2</v>
      </c>
      <c r="K47" s="19">
        <f t="shared" si="6"/>
        <v>2.4597723269937068E-2</v>
      </c>
      <c r="L47" s="19">
        <f t="shared" si="6"/>
        <v>9.6548577557266924E-3</v>
      </c>
      <c r="M47" s="19">
        <f t="shared" si="6"/>
        <v>6.3914509640261949E-2</v>
      </c>
      <c r="N47" s="19">
        <f t="shared" si="6"/>
        <v>1.7084665426203044E-2</v>
      </c>
      <c r="O47" s="19">
        <f t="shared" si="6"/>
        <v>2.4439872292071878E-2</v>
      </c>
      <c r="P47" s="19">
        <f t="shared" si="6"/>
        <v>3.4336912370002692E-2</v>
      </c>
      <c r="Q47" s="19">
        <f t="shared" si="6"/>
        <v>4.0564457798108598E-2</v>
      </c>
      <c r="R47" s="19">
        <f t="shared" si="6"/>
        <v>5.0478796613339712E-2</v>
      </c>
      <c r="S47" s="19">
        <f t="shared" si="6"/>
        <v>4.2307305581113244E-2</v>
      </c>
      <c r="T47" s="19">
        <f t="shared" si="6"/>
        <v>4.723312102737201E-2</v>
      </c>
      <c r="U47" s="19">
        <f t="shared" si="6"/>
        <v>6.5310301506179447E-2</v>
      </c>
      <c r="V47" s="19">
        <f t="shared" si="6"/>
        <v>3.4090405363473499E-2</v>
      </c>
      <c r="W47" s="19">
        <f t="shared" si="6"/>
        <v>1.1142549163551993E-2</v>
      </c>
      <c r="X47" s="172">
        <f>X16/Y16</f>
        <v>1.3696275257507922E-2</v>
      </c>
    </row>
    <row r="48" spans="1:27" x14ac:dyDescent="0.25">
      <c r="A48" s="70" t="s">
        <v>97</v>
      </c>
      <c r="B48" s="19">
        <f>B20/$Y$20</f>
        <v>0</v>
      </c>
      <c r="C48" s="19">
        <f t="shared" ref="C48:W48" si="7">C20/$Y$20</f>
        <v>0</v>
      </c>
      <c r="D48" s="19">
        <f t="shared" si="7"/>
        <v>0</v>
      </c>
      <c r="E48" s="19">
        <f t="shared" si="7"/>
        <v>0</v>
      </c>
      <c r="F48" s="19">
        <f t="shared" si="7"/>
        <v>0</v>
      </c>
      <c r="G48" s="19">
        <f>G20/$Y$20</f>
        <v>0</v>
      </c>
      <c r="H48" s="19">
        <f t="shared" si="7"/>
        <v>0</v>
      </c>
      <c r="I48" s="19">
        <f t="shared" si="7"/>
        <v>0</v>
      </c>
      <c r="J48" s="19">
        <f t="shared" si="7"/>
        <v>0</v>
      </c>
      <c r="K48" s="19">
        <f t="shared" si="7"/>
        <v>1</v>
      </c>
      <c r="L48" s="19">
        <f t="shared" si="7"/>
        <v>0</v>
      </c>
      <c r="M48" s="19">
        <f t="shared" si="7"/>
        <v>0</v>
      </c>
      <c r="N48" s="19">
        <f t="shared" si="7"/>
        <v>0</v>
      </c>
      <c r="O48" s="19">
        <f t="shared" si="7"/>
        <v>0</v>
      </c>
      <c r="P48" s="19">
        <f t="shared" si="7"/>
        <v>0</v>
      </c>
      <c r="Q48" s="19">
        <f t="shared" si="7"/>
        <v>0</v>
      </c>
      <c r="R48" s="19">
        <f t="shared" si="7"/>
        <v>0</v>
      </c>
      <c r="S48" s="19">
        <f t="shared" si="7"/>
        <v>0</v>
      </c>
      <c r="T48" s="19">
        <f t="shared" si="7"/>
        <v>0</v>
      </c>
      <c r="U48" s="19">
        <f t="shared" si="7"/>
        <v>0</v>
      </c>
      <c r="V48" s="19">
        <f t="shared" si="7"/>
        <v>0</v>
      </c>
      <c r="W48" s="19">
        <f t="shared" si="7"/>
        <v>0</v>
      </c>
      <c r="X48" s="86">
        <f>X20/Y20</f>
        <v>0</v>
      </c>
    </row>
    <row r="49" spans="1:24" x14ac:dyDescent="0.25">
      <c r="A49" s="70" t="s">
        <v>18</v>
      </c>
      <c r="B49" s="19">
        <f>B22/$Y$22</f>
        <v>0</v>
      </c>
      <c r="C49" s="19">
        <f t="shared" ref="C49:W49" si="8">C22/$Y$22</f>
        <v>0</v>
      </c>
      <c r="D49" s="19">
        <f t="shared" si="8"/>
        <v>0</v>
      </c>
      <c r="E49" s="19">
        <f t="shared" si="8"/>
        <v>0</v>
      </c>
      <c r="F49" s="19">
        <f t="shared" si="8"/>
        <v>0</v>
      </c>
      <c r="G49" s="19">
        <f t="shared" si="8"/>
        <v>0</v>
      </c>
      <c r="H49" s="19">
        <f t="shared" si="8"/>
        <v>0</v>
      </c>
      <c r="I49" s="19">
        <f t="shared" si="8"/>
        <v>0</v>
      </c>
      <c r="J49" s="19">
        <f t="shared" si="8"/>
        <v>0</v>
      </c>
      <c r="K49" s="19">
        <f t="shared" si="8"/>
        <v>0</v>
      </c>
      <c r="L49" s="19">
        <f t="shared" si="8"/>
        <v>0</v>
      </c>
      <c r="M49" s="19">
        <f t="shared" si="8"/>
        <v>0</v>
      </c>
      <c r="N49" s="19">
        <f t="shared" si="8"/>
        <v>0</v>
      </c>
      <c r="O49" s="19">
        <f t="shared" si="8"/>
        <v>0</v>
      </c>
      <c r="P49" s="19">
        <f t="shared" si="8"/>
        <v>0</v>
      </c>
      <c r="Q49" s="19">
        <f t="shared" si="8"/>
        <v>0</v>
      </c>
      <c r="R49" s="19">
        <f t="shared" si="8"/>
        <v>0</v>
      </c>
      <c r="S49" s="19">
        <f t="shared" si="8"/>
        <v>0</v>
      </c>
      <c r="T49" s="19">
        <f t="shared" si="8"/>
        <v>0</v>
      </c>
      <c r="U49" s="19">
        <f t="shared" si="8"/>
        <v>0</v>
      </c>
      <c r="V49" s="19">
        <f t="shared" si="8"/>
        <v>0</v>
      </c>
      <c r="W49" s="19">
        <f t="shared" si="8"/>
        <v>0</v>
      </c>
      <c r="X49" s="86">
        <f>X22/Y22</f>
        <v>1</v>
      </c>
    </row>
    <row r="50" spans="1:24" x14ac:dyDescent="0.25">
      <c r="A50" s="70" t="s">
        <v>19</v>
      </c>
      <c r="B50" s="19">
        <f>B24/$Y$24</f>
        <v>0.13618677042801555</v>
      </c>
      <c r="C50" s="19">
        <f t="shared" ref="C50:W50" si="9">C24/$Y$24</f>
        <v>4.1903621670158632E-2</v>
      </c>
      <c r="D50" s="19">
        <f t="shared" si="9"/>
        <v>1.1972463334331037E-3</v>
      </c>
      <c r="E50" s="19">
        <f t="shared" si="9"/>
        <v>5.6869200838072431E-3</v>
      </c>
      <c r="F50" s="19">
        <f t="shared" si="9"/>
        <v>0</v>
      </c>
      <c r="G50" s="19">
        <f t="shared" si="9"/>
        <v>2.9931158335827594E-3</v>
      </c>
      <c r="H50" s="19">
        <f t="shared" si="9"/>
        <v>1.7360071834780003E-2</v>
      </c>
      <c r="I50" s="19">
        <f t="shared" si="9"/>
        <v>0</v>
      </c>
      <c r="J50" s="19">
        <f t="shared" si="9"/>
        <v>0</v>
      </c>
      <c r="K50" s="19">
        <f t="shared" si="9"/>
        <v>0</v>
      </c>
      <c r="L50" s="19">
        <f t="shared" si="9"/>
        <v>7.1834780005986219E-3</v>
      </c>
      <c r="M50" s="19">
        <f t="shared" si="9"/>
        <v>2.2149057168512419E-2</v>
      </c>
      <c r="N50" s="19">
        <f t="shared" si="9"/>
        <v>1.61628255013469E-2</v>
      </c>
      <c r="O50" s="19">
        <f t="shared" si="9"/>
        <v>5.0882969170906907E-3</v>
      </c>
      <c r="P50" s="19">
        <f t="shared" si="9"/>
        <v>0</v>
      </c>
      <c r="Q50" s="19">
        <f t="shared" si="9"/>
        <v>3.8910505836575872E-3</v>
      </c>
      <c r="R50" s="19">
        <f t="shared" si="9"/>
        <v>5.6869200838072431E-3</v>
      </c>
      <c r="S50" s="19">
        <f t="shared" si="9"/>
        <v>3.3223585752768632E-2</v>
      </c>
      <c r="T50" s="19">
        <f t="shared" si="9"/>
        <v>3.4121520502843457E-2</v>
      </c>
      <c r="U50" s="19">
        <f t="shared" si="9"/>
        <v>0.56599820413049984</v>
      </c>
      <c r="V50" s="19">
        <f t="shared" si="9"/>
        <v>7.8419634839868302E-2</v>
      </c>
      <c r="W50" s="19">
        <f t="shared" si="9"/>
        <v>2.2747680335228972E-2</v>
      </c>
      <c r="X50" s="86">
        <f>X24/Y24</f>
        <v>0</v>
      </c>
    </row>
    <row r="51" spans="1:24" x14ac:dyDescent="0.25">
      <c r="A51" s="70" t="s">
        <v>23</v>
      </c>
      <c r="B51" s="19">
        <f>B27/$Y$27</f>
        <v>0.53749999999999998</v>
      </c>
      <c r="C51" s="19">
        <f t="shared" ref="C51:W51" si="10">C27/$Y$27</f>
        <v>3.7499999999999999E-2</v>
      </c>
      <c r="D51" s="19">
        <f t="shared" si="10"/>
        <v>0</v>
      </c>
      <c r="E51" s="19">
        <f t="shared" si="10"/>
        <v>0</v>
      </c>
      <c r="F51" s="19">
        <f t="shared" si="10"/>
        <v>0</v>
      </c>
      <c r="G51" s="19">
        <f t="shared" si="10"/>
        <v>3.7499999999999999E-2</v>
      </c>
      <c r="H51" s="19">
        <f t="shared" si="10"/>
        <v>0</v>
      </c>
      <c r="I51" s="19">
        <f t="shared" si="10"/>
        <v>0</v>
      </c>
      <c r="J51" s="19">
        <f t="shared" si="10"/>
        <v>0</v>
      </c>
      <c r="K51" s="19">
        <f t="shared" si="10"/>
        <v>3.7499999999999999E-2</v>
      </c>
      <c r="L51" s="19">
        <f t="shared" si="10"/>
        <v>0</v>
      </c>
      <c r="M51" s="19">
        <f t="shared" si="10"/>
        <v>1.2499999999999999E-2</v>
      </c>
      <c r="N51" s="19">
        <f t="shared" si="10"/>
        <v>0</v>
      </c>
      <c r="O51" s="19">
        <f t="shared" si="10"/>
        <v>0.3125</v>
      </c>
      <c r="P51" s="19">
        <f t="shared" si="10"/>
        <v>0</v>
      </c>
      <c r="Q51" s="19">
        <f t="shared" si="10"/>
        <v>0</v>
      </c>
      <c r="R51" s="19">
        <f t="shared" si="10"/>
        <v>0</v>
      </c>
      <c r="S51" s="19">
        <f t="shared" si="10"/>
        <v>0</v>
      </c>
      <c r="T51" s="19">
        <f t="shared" si="10"/>
        <v>0</v>
      </c>
      <c r="U51" s="19">
        <f t="shared" si="10"/>
        <v>2.4999999999999998E-2</v>
      </c>
      <c r="V51" s="19">
        <f t="shared" si="10"/>
        <v>0</v>
      </c>
      <c r="W51" s="19">
        <f t="shared" si="10"/>
        <v>0</v>
      </c>
      <c r="X51" s="86">
        <f>X27/Y27</f>
        <v>0</v>
      </c>
    </row>
    <row r="52" spans="1:24" x14ac:dyDescent="0.25">
      <c r="A52" s="70" t="s">
        <v>26</v>
      </c>
      <c r="B52" s="19">
        <f>B30/$Y$30</f>
        <v>0</v>
      </c>
      <c r="C52" s="19">
        <f t="shared" ref="C52:W52" si="11">C30/$Y$30</f>
        <v>0</v>
      </c>
      <c r="D52" s="19">
        <f t="shared" si="11"/>
        <v>0</v>
      </c>
      <c r="E52" s="19">
        <f t="shared" si="11"/>
        <v>0</v>
      </c>
      <c r="F52" s="19">
        <f t="shared" si="11"/>
        <v>0</v>
      </c>
      <c r="G52" s="19">
        <f t="shared" si="11"/>
        <v>0</v>
      </c>
      <c r="H52" s="19">
        <f t="shared" si="11"/>
        <v>0</v>
      </c>
      <c r="I52" s="19">
        <f t="shared" si="11"/>
        <v>0</v>
      </c>
      <c r="J52" s="19">
        <f t="shared" si="11"/>
        <v>0</v>
      </c>
      <c r="K52" s="19">
        <f t="shared" si="11"/>
        <v>1</v>
      </c>
      <c r="L52" s="19">
        <f t="shared" si="11"/>
        <v>0</v>
      </c>
      <c r="M52" s="19">
        <f t="shared" si="11"/>
        <v>0</v>
      </c>
      <c r="N52" s="19">
        <f t="shared" si="11"/>
        <v>0</v>
      </c>
      <c r="O52" s="19">
        <f t="shared" si="11"/>
        <v>0</v>
      </c>
      <c r="P52" s="19">
        <f t="shared" si="11"/>
        <v>0</v>
      </c>
      <c r="Q52" s="19">
        <f t="shared" si="11"/>
        <v>0</v>
      </c>
      <c r="R52" s="19">
        <f t="shared" si="11"/>
        <v>0</v>
      </c>
      <c r="S52" s="19">
        <f t="shared" si="11"/>
        <v>0</v>
      </c>
      <c r="T52" s="19">
        <f t="shared" si="11"/>
        <v>0</v>
      </c>
      <c r="U52" s="19">
        <f t="shared" si="11"/>
        <v>0</v>
      </c>
      <c r="V52" s="19">
        <f t="shared" si="11"/>
        <v>0</v>
      </c>
      <c r="W52" s="19">
        <f t="shared" si="11"/>
        <v>0</v>
      </c>
      <c r="X52" s="86">
        <f>X30/Y30</f>
        <v>0</v>
      </c>
    </row>
    <row r="53" spans="1:24" x14ac:dyDescent="0.25">
      <c r="A53" s="70" t="s">
        <v>99</v>
      </c>
      <c r="B53" s="19">
        <f>B32/$Y$32</f>
        <v>0.38132214060860442</v>
      </c>
      <c r="C53" s="19">
        <f t="shared" ref="C53:W53" si="12">C32/$Y$32</f>
        <v>0.10304302203567681</v>
      </c>
      <c r="D53" s="19">
        <f t="shared" si="12"/>
        <v>0</v>
      </c>
      <c r="E53" s="19">
        <f t="shared" si="12"/>
        <v>0.125498426023085</v>
      </c>
      <c r="F53" s="19">
        <f t="shared" si="12"/>
        <v>6.2959076600209852E-4</v>
      </c>
      <c r="G53" s="19">
        <f t="shared" si="12"/>
        <v>6.9254984260230844E-3</v>
      </c>
      <c r="H53" s="19">
        <f t="shared" si="12"/>
        <v>0</v>
      </c>
      <c r="I53" s="19">
        <f t="shared" si="12"/>
        <v>7.0514165792235031E-2</v>
      </c>
      <c r="J53" s="19">
        <f t="shared" si="12"/>
        <v>0</v>
      </c>
      <c r="K53" s="19">
        <f t="shared" si="12"/>
        <v>3.8614900314795378E-2</v>
      </c>
      <c r="L53" s="19">
        <f t="shared" si="12"/>
        <v>0</v>
      </c>
      <c r="M53" s="19">
        <f t="shared" si="12"/>
        <v>0</v>
      </c>
      <c r="N53" s="19">
        <f t="shared" si="12"/>
        <v>0</v>
      </c>
      <c r="O53" s="19">
        <f t="shared" si="12"/>
        <v>3.7775445960125911E-3</v>
      </c>
      <c r="P53" s="19">
        <f t="shared" si="12"/>
        <v>3.3578174186778595E-2</v>
      </c>
      <c r="Q53" s="19">
        <f t="shared" si="12"/>
        <v>0</v>
      </c>
      <c r="R53" s="19">
        <f t="shared" si="12"/>
        <v>0.11689401888772297</v>
      </c>
      <c r="S53" s="19">
        <f t="shared" si="12"/>
        <v>0</v>
      </c>
      <c r="T53" s="19">
        <f t="shared" si="12"/>
        <v>3.7985309548793283E-2</v>
      </c>
      <c r="U53" s="19">
        <f t="shared" si="12"/>
        <v>7.806925498426022E-2</v>
      </c>
      <c r="V53" s="19">
        <f t="shared" si="12"/>
        <v>0</v>
      </c>
      <c r="W53" s="19">
        <f t="shared" si="12"/>
        <v>0</v>
      </c>
      <c r="X53" s="172">
        <f>X32/Y32</f>
        <v>3.1479538300104928E-3</v>
      </c>
    </row>
    <row r="54" spans="1:24" x14ac:dyDescent="0.25">
      <c r="A54" s="70" t="s">
        <v>100</v>
      </c>
      <c r="B54" s="19">
        <f>B34/$Y$34</f>
        <v>0</v>
      </c>
      <c r="C54" s="19">
        <f t="shared" ref="C54:W54" si="13">C34/$Y$34</f>
        <v>0</v>
      </c>
      <c r="D54" s="19">
        <f t="shared" si="13"/>
        <v>0</v>
      </c>
      <c r="E54" s="19">
        <f t="shared" si="13"/>
        <v>0</v>
      </c>
      <c r="F54" s="19">
        <f t="shared" si="13"/>
        <v>0</v>
      </c>
      <c r="G54" s="19">
        <f t="shared" si="13"/>
        <v>0</v>
      </c>
      <c r="H54" s="19">
        <f t="shared" si="13"/>
        <v>0</v>
      </c>
      <c r="I54" s="19">
        <f t="shared" si="13"/>
        <v>0</v>
      </c>
      <c r="J54" s="19">
        <f t="shared" si="13"/>
        <v>0</v>
      </c>
      <c r="K54" s="19">
        <f t="shared" si="13"/>
        <v>0</v>
      </c>
      <c r="L54" s="19">
        <f t="shared" si="13"/>
        <v>0</v>
      </c>
      <c r="M54" s="19">
        <f t="shared" si="13"/>
        <v>0</v>
      </c>
      <c r="N54" s="19">
        <f t="shared" si="13"/>
        <v>0</v>
      </c>
      <c r="O54" s="19">
        <f t="shared" si="13"/>
        <v>0</v>
      </c>
      <c r="P54" s="19">
        <f t="shared" si="13"/>
        <v>0</v>
      </c>
      <c r="Q54" s="19">
        <f t="shared" si="13"/>
        <v>0</v>
      </c>
      <c r="R54" s="19">
        <f t="shared" si="13"/>
        <v>0</v>
      </c>
      <c r="S54" s="19">
        <f t="shared" si="13"/>
        <v>0</v>
      </c>
      <c r="T54" s="19">
        <f t="shared" si="13"/>
        <v>0</v>
      </c>
      <c r="U54" s="19">
        <f t="shared" si="13"/>
        <v>0</v>
      </c>
      <c r="V54" s="19">
        <f t="shared" si="13"/>
        <v>0</v>
      </c>
      <c r="W54" s="19">
        <f t="shared" si="13"/>
        <v>0</v>
      </c>
      <c r="X54" s="86">
        <f>X34/Y34</f>
        <v>1</v>
      </c>
    </row>
    <row r="55" spans="1:24" x14ac:dyDescent="0.25">
      <c r="A55" s="70" t="s">
        <v>32</v>
      </c>
      <c r="B55" s="19">
        <f>B37/$Y$37</f>
        <v>0.3526984074383977</v>
      </c>
      <c r="C55" s="19">
        <f t="shared" ref="C55:W55" si="14">C37/$Y$37</f>
        <v>9.2197083295362608E-2</v>
      </c>
      <c r="D55" s="19">
        <f t="shared" si="14"/>
        <v>2.8091439049378528E-2</v>
      </c>
      <c r="E55" s="19">
        <f t="shared" si="14"/>
        <v>1.5789611759605218E-2</v>
      </c>
      <c r="F55" s="19">
        <f t="shared" si="14"/>
        <v>1.8905283040751578E-2</v>
      </c>
      <c r="G55" s="19">
        <f t="shared" si="14"/>
        <v>1.8083734442354907E-2</v>
      </c>
      <c r="H55" s="19">
        <f t="shared" si="14"/>
        <v>2.6649241551856977E-2</v>
      </c>
      <c r="I55" s="19">
        <f t="shared" si="14"/>
        <v>8.5827665338381372E-3</v>
      </c>
      <c r="J55" s="19">
        <f t="shared" si="14"/>
        <v>8.5040635588656838E-3</v>
      </c>
      <c r="K55" s="19">
        <f t="shared" si="14"/>
        <v>3.9461947801977797E-3</v>
      </c>
      <c r="L55" s="19">
        <f t="shared" si="14"/>
        <v>1.3106116463833913E-2</v>
      </c>
      <c r="M55" s="19">
        <f t="shared" si="14"/>
        <v>2.6757630736687466E-2</v>
      </c>
      <c r="N55" s="19">
        <f t="shared" si="14"/>
        <v>2.529679306088297E-2</v>
      </c>
      <c r="O55" s="19">
        <f t="shared" si="14"/>
        <v>1.941547162412564E-2</v>
      </c>
      <c r="P55" s="19">
        <f t="shared" si="14"/>
        <v>3.1839495638198281E-2</v>
      </c>
      <c r="Q55" s="19">
        <f t="shared" si="14"/>
        <v>4.7094065243385511E-2</v>
      </c>
      <c r="R55" s="19">
        <f t="shared" si="14"/>
        <v>5.988329867640927E-2</v>
      </c>
      <c r="S55" s="19">
        <f t="shared" si="14"/>
        <v>4.4897285713891219E-2</v>
      </c>
      <c r="T55" s="19">
        <f t="shared" si="14"/>
        <v>4.6630822294205537E-2</v>
      </c>
      <c r="U55" s="19">
        <f t="shared" si="14"/>
        <v>4.7009839252625508E-2</v>
      </c>
      <c r="V55" s="19">
        <f t="shared" si="14"/>
        <v>4.0146111382659402E-2</v>
      </c>
      <c r="W55" s="19">
        <f t="shared" si="14"/>
        <v>9.7039387387088862E-3</v>
      </c>
      <c r="X55" s="86">
        <f>X37/Y37</f>
        <v>1.4771305723777411E-2</v>
      </c>
    </row>
    <row r="56" spans="1:24" x14ac:dyDescent="0.25">
      <c r="A56" s="70" t="s">
        <v>33</v>
      </c>
      <c r="B56" s="19">
        <f>B39/$Y$39</f>
        <v>0.35947241111098022</v>
      </c>
      <c r="C56" s="19">
        <f t="shared" ref="C56:W56" si="15">C39/$Y$39</f>
        <v>8.7970519604492467E-2</v>
      </c>
      <c r="D56" s="19">
        <f t="shared" si="15"/>
        <v>2.0381939943195884E-2</v>
      </c>
      <c r="E56" s="19">
        <f t="shared" si="15"/>
        <v>1.6401158474066913E-2</v>
      </c>
      <c r="F56" s="19">
        <f t="shared" si="15"/>
        <v>1.4600986411794515E-2</v>
      </c>
      <c r="G56" s="19">
        <f t="shared" si="15"/>
        <v>1.5618555030464455E-2</v>
      </c>
      <c r="H56" s="19">
        <f t="shared" si="15"/>
        <v>3.1524739844201149E-2</v>
      </c>
      <c r="I56" s="19">
        <f t="shared" si="15"/>
        <v>7.4463336593874122E-3</v>
      </c>
      <c r="J56" s="19">
        <f t="shared" si="15"/>
        <v>1.0899732478521681E-2</v>
      </c>
      <c r="K56" s="19">
        <f t="shared" si="15"/>
        <v>1.1437427079773256E-2</v>
      </c>
      <c r="L56" s="19">
        <f t="shared" si="15"/>
        <v>1.1075403933862095E-2</v>
      </c>
      <c r="M56" s="19">
        <f t="shared" si="15"/>
        <v>3.8372243762742626E-2</v>
      </c>
      <c r="N56" s="19">
        <f t="shared" si="15"/>
        <v>1.9874076343794563E-2</v>
      </c>
      <c r="O56" s="19">
        <f t="shared" si="15"/>
        <v>2.0935839039279699E-2</v>
      </c>
      <c r="P56" s="19">
        <f t="shared" si="15"/>
        <v>3.1054441210092747E-2</v>
      </c>
      <c r="Q56" s="19">
        <f t="shared" si="15"/>
        <v>4.4380796789742258E-2</v>
      </c>
      <c r="R56" s="19">
        <f t="shared" si="15"/>
        <v>5.4503818368236839E-2</v>
      </c>
      <c r="S56" s="19">
        <f t="shared" si="15"/>
        <v>4.1673541300837919E-2</v>
      </c>
      <c r="T56" s="19">
        <f t="shared" si="15"/>
        <v>4.6220743521148341E-2</v>
      </c>
      <c r="U56" s="19">
        <f t="shared" si="15"/>
        <v>5.2257654414104404E-2</v>
      </c>
      <c r="V56" s="19">
        <f t="shared" si="15"/>
        <v>3.7907837672209586E-2</v>
      </c>
      <c r="W56" s="19">
        <f t="shared" si="15"/>
        <v>1.1421959152887937E-2</v>
      </c>
      <c r="X56" s="86">
        <f>X39/Y39</f>
        <v>1.4567840854183117E-2</v>
      </c>
    </row>
    <row r="57" spans="1:24" x14ac:dyDescent="0.25">
      <c r="P57" s="190"/>
    </row>
    <row r="58" spans="1:24" x14ac:dyDescent="0.25">
      <c r="V58" s="190"/>
    </row>
    <row r="59" spans="1:24" x14ac:dyDescent="0.25">
      <c r="B59" s="190"/>
      <c r="V59" s="190"/>
    </row>
    <row r="60" spans="1:24" x14ac:dyDescent="0.25">
      <c r="V60" s="190"/>
    </row>
  </sheetData>
  <hyperlinks>
    <hyperlink ref="D1" r:id="rId1" location="INDICE!A1"/>
  </hyperlinks>
  <pageMargins left="0.7" right="0.7" top="0.75" bottom="0.75" header="0.3" footer="0.3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opLeftCell="AH10" workbookViewId="0">
      <selection activeCell="AO17" sqref="AO17"/>
    </sheetView>
  </sheetViews>
  <sheetFormatPr baseColWidth="10" defaultRowHeight="15" x14ac:dyDescent="0.25"/>
  <cols>
    <col min="1" max="1" width="28.42578125" customWidth="1"/>
    <col min="24" max="24" width="18.42578125" customWidth="1"/>
    <col min="25" max="25" width="16" customWidth="1"/>
    <col min="26" max="26" width="15.5703125" customWidth="1"/>
  </cols>
  <sheetData>
    <row r="1" spans="1:26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26" ht="18.75" x14ac:dyDescent="0.3">
      <c r="A2" s="37" t="s">
        <v>42</v>
      </c>
      <c r="B2" s="36"/>
      <c r="C2" s="36"/>
      <c r="D2" s="36"/>
      <c r="E2" s="30"/>
      <c r="F2" s="31"/>
      <c r="G2" s="36"/>
      <c r="H2" s="36"/>
    </row>
    <row r="3" spans="1:26" ht="36" customHeight="1" x14ac:dyDescent="0.25">
      <c r="A3" s="32" t="s">
        <v>0</v>
      </c>
      <c r="B3" s="38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6" x14ac:dyDescent="0.25">
      <c r="A4" s="14" t="s">
        <v>4</v>
      </c>
      <c r="B4" s="40">
        <v>138.45999999999998</v>
      </c>
      <c r="C4" s="40">
        <v>24.99</v>
      </c>
      <c r="D4" s="40">
        <v>19.529999999999998</v>
      </c>
      <c r="E4" s="40">
        <v>24.71</v>
      </c>
      <c r="F4" s="40">
        <v>11.440000000000001</v>
      </c>
      <c r="G4" s="40">
        <v>20.059999999999999</v>
      </c>
      <c r="H4" s="40">
        <v>41.45</v>
      </c>
      <c r="I4" s="40">
        <v>49.589999999999996</v>
      </c>
      <c r="J4" s="40">
        <v>25.59</v>
      </c>
      <c r="K4" s="40">
        <v>12.309999999999999</v>
      </c>
      <c r="L4" s="40">
        <v>15.53</v>
      </c>
      <c r="M4" s="40">
        <v>20.419999999999998</v>
      </c>
      <c r="N4" s="40">
        <v>4.3599999999999994</v>
      </c>
      <c r="O4" s="40">
        <v>1.8</v>
      </c>
      <c r="P4" s="40">
        <v>5.89</v>
      </c>
      <c r="Q4" s="40">
        <v>8.65</v>
      </c>
      <c r="R4" s="40">
        <v>7.02</v>
      </c>
      <c r="S4" s="40">
        <v>41.38</v>
      </c>
      <c r="T4" s="40">
        <v>52.2</v>
      </c>
      <c r="U4" s="40">
        <v>58.64</v>
      </c>
      <c r="V4" s="40">
        <v>84.31</v>
      </c>
      <c r="W4" s="40">
        <v>84.6</v>
      </c>
      <c r="X4" s="40">
        <v>0.23</v>
      </c>
      <c r="Y4" s="40">
        <v>753.16</v>
      </c>
      <c r="Z4" s="66">
        <f>Y4/$Y$26</f>
        <v>0.36324526627504311</v>
      </c>
    </row>
    <row r="5" spans="1:26" x14ac:dyDescent="0.25">
      <c r="A5" s="6" t="s">
        <v>5</v>
      </c>
      <c r="B5" s="10">
        <v>1.6500000000000001</v>
      </c>
      <c r="C5" s="10"/>
      <c r="D5" s="10"/>
      <c r="E5" s="10">
        <v>17.55</v>
      </c>
      <c r="F5" s="10"/>
      <c r="G5" s="10">
        <v>4.42</v>
      </c>
      <c r="H5" s="10">
        <v>12.76</v>
      </c>
      <c r="I5" s="10">
        <v>2.71</v>
      </c>
      <c r="J5" s="10">
        <v>3.34</v>
      </c>
      <c r="K5" s="10"/>
      <c r="L5" s="10">
        <v>11.059999999999999</v>
      </c>
      <c r="M5" s="10">
        <v>2.4</v>
      </c>
      <c r="N5" s="10">
        <v>1.56</v>
      </c>
      <c r="O5" s="10">
        <v>0.85</v>
      </c>
      <c r="P5" s="10"/>
      <c r="Q5" s="10">
        <v>4.92</v>
      </c>
      <c r="R5" s="10">
        <v>3.82</v>
      </c>
      <c r="S5" s="10">
        <v>0.8</v>
      </c>
      <c r="T5" s="10">
        <v>13.83</v>
      </c>
      <c r="U5" s="10">
        <v>3.99</v>
      </c>
      <c r="V5" s="10"/>
      <c r="W5" s="10"/>
      <c r="X5" s="10"/>
      <c r="Y5" s="10">
        <v>85.66</v>
      </c>
      <c r="Z5" s="19">
        <f t="shared" ref="Z5:Z26" si="0">Y5/$Y$26</f>
        <v>4.1313385614106163E-2</v>
      </c>
    </row>
    <row r="6" spans="1:26" x14ac:dyDescent="0.25">
      <c r="A6" s="6" t="s">
        <v>6</v>
      </c>
      <c r="B6" s="10">
        <v>79.64</v>
      </c>
      <c r="C6" s="10"/>
      <c r="D6" s="10"/>
      <c r="E6" s="10">
        <v>2.1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>
        <v>81.739999999999995</v>
      </c>
      <c r="Z6" s="19">
        <f t="shared" si="0"/>
        <v>3.9422789401086122E-2</v>
      </c>
    </row>
    <row r="7" spans="1:26" x14ac:dyDescent="0.25">
      <c r="A7" s="6" t="s">
        <v>7</v>
      </c>
      <c r="B7" s="10">
        <v>4.3199999999999994</v>
      </c>
      <c r="C7" s="10">
        <v>3.07</v>
      </c>
      <c r="D7" s="10">
        <v>2.77</v>
      </c>
      <c r="E7" s="10"/>
      <c r="F7" s="10">
        <v>1.31</v>
      </c>
      <c r="G7" s="10">
        <v>0.3</v>
      </c>
      <c r="H7" s="10">
        <v>5.25</v>
      </c>
      <c r="I7" s="10">
        <v>13.03</v>
      </c>
      <c r="J7" s="10">
        <v>9.82</v>
      </c>
      <c r="K7" s="10"/>
      <c r="L7" s="10">
        <v>3.26</v>
      </c>
      <c r="M7" s="10"/>
      <c r="N7" s="10"/>
      <c r="O7" s="10"/>
      <c r="P7" s="10"/>
      <c r="Q7" s="10"/>
      <c r="R7" s="10"/>
      <c r="S7" s="10">
        <v>8.24</v>
      </c>
      <c r="T7" s="10"/>
      <c r="U7" s="10">
        <v>18.940000000000001</v>
      </c>
      <c r="V7" s="10">
        <v>37.51</v>
      </c>
      <c r="W7" s="10">
        <v>21.99</v>
      </c>
      <c r="X7" s="10"/>
      <c r="Y7" s="10">
        <v>129.81</v>
      </c>
      <c r="Z7" s="19">
        <f t="shared" si="0"/>
        <v>6.26067077581966E-2</v>
      </c>
    </row>
    <row r="8" spans="1:26" x14ac:dyDescent="0.25">
      <c r="A8" s="6" t="s">
        <v>9</v>
      </c>
      <c r="B8" s="10">
        <v>11.18</v>
      </c>
      <c r="C8" s="10">
        <v>16.079999999999998</v>
      </c>
      <c r="D8" s="10"/>
      <c r="E8" s="10"/>
      <c r="F8" s="10"/>
      <c r="G8" s="10">
        <v>15.34</v>
      </c>
      <c r="H8" s="10"/>
      <c r="I8" s="10"/>
      <c r="J8" s="10">
        <v>6.12</v>
      </c>
      <c r="K8" s="10">
        <v>7.42</v>
      </c>
      <c r="L8" s="10"/>
      <c r="M8" s="10">
        <v>1.52</v>
      </c>
      <c r="N8" s="10"/>
      <c r="O8" s="10"/>
      <c r="P8" s="10"/>
      <c r="Q8" s="10"/>
      <c r="R8" s="10"/>
      <c r="S8" s="10"/>
      <c r="T8" s="10"/>
      <c r="U8" s="10">
        <v>2.98</v>
      </c>
      <c r="V8" s="10"/>
      <c r="W8" s="10"/>
      <c r="X8" s="10"/>
      <c r="Y8" s="10">
        <v>60.64</v>
      </c>
      <c r="Z8" s="19">
        <f t="shared" si="0"/>
        <v>2.9246365907534412E-2</v>
      </c>
    </row>
    <row r="9" spans="1:26" x14ac:dyDescent="0.25">
      <c r="A9" s="6" t="s">
        <v>11</v>
      </c>
      <c r="B9" s="10">
        <v>7.8500000000000005</v>
      </c>
      <c r="C9" s="10">
        <v>0.32</v>
      </c>
      <c r="D9" s="10">
        <v>0.54</v>
      </c>
      <c r="E9" s="10"/>
      <c r="F9" s="10"/>
      <c r="G9" s="10"/>
      <c r="H9" s="10"/>
      <c r="I9" s="10">
        <v>1.0900000000000001</v>
      </c>
      <c r="J9" s="10"/>
      <c r="K9" s="10">
        <v>0.62</v>
      </c>
      <c r="L9" s="10">
        <v>1.2100000000000002</v>
      </c>
      <c r="M9" s="10">
        <v>0.63</v>
      </c>
      <c r="N9" s="10"/>
      <c r="O9" s="10">
        <v>0.92</v>
      </c>
      <c r="P9" s="10">
        <v>5.89</v>
      </c>
      <c r="Q9" s="10"/>
      <c r="R9" s="10"/>
      <c r="S9" s="10">
        <v>3.83</v>
      </c>
      <c r="T9" s="10">
        <v>8.7799999999999994</v>
      </c>
      <c r="U9" s="10">
        <v>2.4700000000000002</v>
      </c>
      <c r="V9" s="10">
        <v>4.01</v>
      </c>
      <c r="W9" s="10">
        <v>5</v>
      </c>
      <c r="X9" s="10">
        <v>0.23</v>
      </c>
      <c r="Y9" s="10">
        <v>43.39</v>
      </c>
      <c r="Z9" s="19">
        <f t="shared" si="0"/>
        <v>2.0926777980341656E-2</v>
      </c>
    </row>
    <row r="10" spans="1:26" x14ac:dyDescent="0.25">
      <c r="A10" s="6" t="s">
        <v>12</v>
      </c>
      <c r="B10" s="10">
        <v>33.82</v>
      </c>
      <c r="C10" s="10">
        <v>5.52</v>
      </c>
      <c r="D10" s="10">
        <v>16.22</v>
      </c>
      <c r="E10" s="10">
        <v>5.0599999999999996</v>
      </c>
      <c r="F10" s="10">
        <v>10.130000000000001</v>
      </c>
      <c r="G10" s="10"/>
      <c r="H10" s="10">
        <v>23.44</v>
      </c>
      <c r="I10" s="10">
        <v>32.76</v>
      </c>
      <c r="J10" s="10">
        <v>6.31</v>
      </c>
      <c r="K10" s="10">
        <v>4.2700000000000005</v>
      </c>
      <c r="L10" s="10"/>
      <c r="M10" s="10">
        <v>15.87</v>
      </c>
      <c r="N10" s="10">
        <v>2.8</v>
      </c>
      <c r="O10" s="10">
        <v>0.03</v>
      </c>
      <c r="P10" s="10"/>
      <c r="Q10" s="10">
        <v>3.73</v>
      </c>
      <c r="R10" s="10">
        <v>3.2</v>
      </c>
      <c r="S10" s="10">
        <v>28.51</v>
      </c>
      <c r="T10" s="10">
        <v>29.59</v>
      </c>
      <c r="U10" s="10">
        <v>30.259999999999998</v>
      </c>
      <c r="V10" s="10">
        <v>42.79</v>
      </c>
      <c r="W10" s="10">
        <v>57.61</v>
      </c>
      <c r="X10" s="10"/>
      <c r="Y10" s="10">
        <v>351.92</v>
      </c>
      <c r="Z10" s="19">
        <f t="shared" si="0"/>
        <v>0.1697292396137782</v>
      </c>
    </row>
    <row r="11" spans="1:26" x14ac:dyDescent="0.25">
      <c r="A11" s="14" t="s">
        <v>14</v>
      </c>
      <c r="B11" s="40">
        <v>70.359999999999985</v>
      </c>
      <c r="C11" s="40">
        <v>8.2200000000000006</v>
      </c>
      <c r="D11" s="40">
        <v>15.690000000000001</v>
      </c>
      <c r="E11" s="40">
        <v>2.56</v>
      </c>
      <c r="F11" s="40">
        <v>13.99</v>
      </c>
      <c r="G11" s="40">
        <v>10.96</v>
      </c>
      <c r="H11" s="40">
        <v>27.28</v>
      </c>
      <c r="I11" s="40">
        <v>8.89</v>
      </c>
      <c r="J11" s="40">
        <v>23.439999999999998</v>
      </c>
      <c r="K11" s="40">
        <v>6.02</v>
      </c>
      <c r="L11" s="40">
        <v>10.71</v>
      </c>
      <c r="M11" s="40">
        <v>70.53</v>
      </c>
      <c r="N11" s="40">
        <v>6.9999999999999991</v>
      </c>
      <c r="O11" s="40">
        <v>7.43</v>
      </c>
      <c r="P11" s="40">
        <v>10.43</v>
      </c>
      <c r="Q11" s="40">
        <v>15.170000000000002</v>
      </c>
      <c r="R11" s="40">
        <v>21.299999999999997</v>
      </c>
      <c r="S11" s="40">
        <v>23.32</v>
      </c>
      <c r="T11" s="40">
        <v>15.17</v>
      </c>
      <c r="U11" s="40">
        <v>26.939999999999998</v>
      </c>
      <c r="V11" s="40">
        <v>32.870000000000005</v>
      </c>
      <c r="W11" s="40">
        <v>26.44</v>
      </c>
      <c r="X11" s="40">
        <v>4.5399999999999991</v>
      </c>
      <c r="Y11" s="40">
        <v>459.25999999999988</v>
      </c>
      <c r="Z11" s="66">
        <f t="shared" si="0"/>
        <v>0.22149877979377061</v>
      </c>
    </row>
    <row r="12" spans="1:26" x14ac:dyDescent="0.25">
      <c r="A12" s="6" t="s">
        <v>15</v>
      </c>
      <c r="B12" s="10">
        <v>22.269999999999992</v>
      </c>
      <c r="C12" s="10">
        <v>2.29</v>
      </c>
      <c r="D12" s="10">
        <v>0.06</v>
      </c>
      <c r="E12" s="10"/>
      <c r="F12" s="10">
        <v>0.56000000000000005</v>
      </c>
      <c r="G12" s="10">
        <v>1.56</v>
      </c>
      <c r="H12" s="10">
        <v>10.770000000000001</v>
      </c>
      <c r="I12" s="10">
        <v>0.22</v>
      </c>
      <c r="J12" s="10">
        <v>2.58</v>
      </c>
      <c r="K12" s="10">
        <v>2.09</v>
      </c>
      <c r="L12" s="10">
        <v>4.45</v>
      </c>
      <c r="M12" s="10">
        <v>57.59</v>
      </c>
      <c r="N12" s="10">
        <v>1.3</v>
      </c>
      <c r="O12" s="10">
        <v>3.17</v>
      </c>
      <c r="P12" s="10">
        <v>8.0400000000000009</v>
      </c>
      <c r="Q12" s="10">
        <v>3.47</v>
      </c>
      <c r="R12" s="10">
        <v>13.85</v>
      </c>
      <c r="S12" s="10">
        <v>7.53</v>
      </c>
      <c r="T12" s="10">
        <v>4.9000000000000004</v>
      </c>
      <c r="U12" s="10">
        <v>15.92</v>
      </c>
      <c r="V12" s="10">
        <v>9.08</v>
      </c>
      <c r="W12" s="10">
        <v>13.32</v>
      </c>
      <c r="X12" s="10">
        <v>2.2599999999999998</v>
      </c>
      <c r="Y12" s="10">
        <v>187.28</v>
      </c>
      <c r="Z12" s="19">
        <f t="shared" si="0"/>
        <v>9.032419866693675E-2</v>
      </c>
    </row>
    <row r="13" spans="1:26" x14ac:dyDescent="0.25">
      <c r="A13" s="6" t="s">
        <v>16</v>
      </c>
      <c r="B13" s="10">
        <v>0.26</v>
      </c>
      <c r="C13" s="10">
        <v>0.06</v>
      </c>
      <c r="D13" s="10"/>
      <c r="E13" s="10"/>
      <c r="F13" s="10"/>
      <c r="G13" s="10"/>
      <c r="H13" s="10"/>
      <c r="I13" s="10"/>
      <c r="J13" s="10"/>
      <c r="K13" s="10"/>
      <c r="L13" s="10">
        <v>0.2</v>
      </c>
      <c r="M13" s="10"/>
      <c r="N13" s="10"/>
      <c r="O13" s="10"/>
      <c r="P13" s="10">
        <v>0.1</v>
      </c>
      <c r="Q13" s="10"/>
      <c r="R13" s="10"/>
      <c r="S13" s="10"/>
      <c r="T13" s="10"/>
      <c r="U13" s="10"/>
      <c r="V13" s="10">
        <v>0.01</v>
      </c>
      <c r="W13" s="10"/>
      <c r="X13" s="10"/>
      <c r="Y13" s="10">
        <v>0.63000000000000012</v>
      </c>
      <c r="Z13" s="19">
        <f t="shared" si="0"/>
        <v>3.0384581994964845E-4</v>
      </c>
    </row>
    <row r="14" spans="1:26" x14ac:dyDescent="0.25">
      <c r="A14" s="6" t="s">
        <v>17</v>
      </c>
      <c r="B14" s="10">
        <v>47.83</v>
      </c>
      <c r="C14" s="10">
        <v>5.870000000000001</v>
      </c>
      <c r="D14" s="10">
        <v>15.63</v>
      </c>
      <c r="E14" s="10">
        <v>2.56</v>
      </c>
      <c r="F14" s="10">
        <v>13.43</v>
      </c>
      <c r="G14" s="10">
        <v>9.4</v>
      </c>
      <c r="H14" s="10">
        <v>16.510000000000002</v>
      </c>
      <c r="I14" s="10">
        <v>8.67</v>
      </c>
      <c r="J14" s="10">
        <v>20.86</v>
      </c>
      <c r="K14" s="10">
        <v>3.93</v>
      </c>
      <c r="L14" s="10">
        <v>6.06</v>
      </c>
      <c r="M14" s="10">
        <v>12.94</v>
      </c>
      <c r="N14" s="10">
        <v>5.6999999999999993</v>
      </c>
      <c r="O14" s="10">
        <v>4.26</v>
      </c>
      <c r="P14" s="10">
        <v>2.29</v>
      </c>
      <c r="Q14" s="10">
        <v>11.700000000000001</v>
      </c>
      <c r="R14" s="10">
        <v>7.4499999999999993</v>
      </c>
      <c r="S14" s="10">
        <v>15.79</v>
      </c>
      <c r="T14" s="10">
        <v>10.27</v>
      </c>
      <c r="U14" s="10">
        <v>11.02</v>
      </c>
      <c r="V14" s="10">
        <v>23.78</v>
      </c>
      <c r="W14" s="10">
        <v>13.120000000000001</v>
      </c>
      <c r="X14" s="10">
        <v>2.2799999999999998</v>
      </c>
      <c r="Y14" s="10">
        <v>271.34999999999991</v>
      </c>
      <c r="Z14" s="19">
        <f t="shared" si="0"/>
        <v>0.13087073530688423</v>
      </c>
    </row>
    <row r="15" spans="1:26" x14ac:dyDescent="0.25">
      <c r="A15" s="14" t="s">
        <v>18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>
        <v>7.0000000000000007E-2</v>
      </c>
      <c r="Y15" s="40">
        <v>7.0000000000000007E-2</v>
      </c>
      <c r="Z15" s="66">
        <f t="shared" si="0"/>
        <v>3.376064666107205E-5</v>
      </c>
    </row>
    <row r="16" spans="1:26" x14ac:dyDescent="0.25">
      <c r="A16" s="6" t="s">
        <v>18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>
        <v>7.0000000000000007E-2</v>
      </c>
      <c r="Y16" s="10">
        <v>7.0000000000000007E-2</v>
      </c>
      <c r="Z16" s="19">
        <f t="shared" si="0"/>
        <v>3.376064666107205E-5</v>
      </c>
    </row>
    <row r="17" spans="1:26" x14ac:dyDescent="0.25">
      <c r="A17" s="14" t="s">
        <v>19</v>
      </c>
      <c r="B17" s="40">
        <v>0.17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>
        <v>0.09</v>
      </c>
      <c r="N17" s="40"/>
      <c r="O17" s="40">
        <v>0.13</v>
      </c>
      <c r="P17" s="40"/>
      <c r="Q17" s="40"/>
      <c r="R17" s="40"/>
      <c r="S17" s="40">
        <v>0.03</v>
      </c>
      <c r="T17" s="40">
        <v>0.1</v>
      </c>
      <c r="U17" s="40">
        <v>7.0000000000000007E-2</v>
      </c>
      <c r="V17" s="40"/>
      <c r="W17" s="40">
        <v>1.43</v>
      </c>
      <c r="X17" s="40"/>
      <c r="Y17" s="40">
        <v>2.02</v>
      </c>
      <c r="Z17" s="66">
        <f t="shared" si="0"/>
        <v>9.7423580364807902E-4</v>
      </c>
    </row>
    <row r="18" spans="1:26" x14ac:dyDescent="0.25">
      <c r="A18" s="6" t="s">
        <v>22</v>
      </c>
      <c r="B18" s="10">
        <v>0.17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0"/>
      <c r="O18" s="10">
        <v>0.13</v>
      </c>
      <c r="P18" s="10"/>
      <c r="Q18" s="10"/>
      <c r="R18" s="10"/>
      <c r="S18" s="10">
        <v>0.03</v>
      </c>
      <c r="T18" s="10">
        <v>0.1</v>
      </c>
      <c r="U18" s="10">
        <v>7.0000000000000007E-2</v>
      </c>
      <c r="V18" s="10"/>
      <c r="W18" s="10">
        <v>1.43</v>
      </c>
      <c r="X18" s="10"/>
      <c r="Y18" s="10">
        <v>2.02</v>
      </c>
      <c r="Z18" s="19">
        <f t="shared" si="0"/>
        <v>9.7423580364807902E-4</v>
      </c>
    </row>
    <row r="19" spans="1:26" x14ac:dyDescent="0.25">
      <c r="A19" s="14" t="s">
        <v>28</v>
      </c>
      <c r="B19" s="40">
        <v>0.29000000000000004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>
        <v>0.29000000000000004</v>
      </c>
      <c r="Z19" s="66">
        <f t="shared" si="0"/>
        <v>1.398655361672985E-4</v>
      </c>
    </row>
    <row r="20" spans="1:26" x14ac:dyDescent="0.25">
      <c r="A20" s="6" t="s">
        <v>28</v>
      </c>
      <c r="B20" s="10">
        <v>0.29000000000000004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>
        <v>0.29000000000000004</v>
      </c>
      <c r="Z20" s="19">
        <f t="shared" si="0"/>
        <v>1.398655361672985E-4</v>
      </c>
    </row>
    <row r="21" spans="1:26" x14ac:dyDescent="0.25">
      <c r="A21" s="14" t="s">
        <v>29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>
        <v>1.26</v>
      </c>
      <c r="Y21" s="40">
        <v>1.26</v>
      </c>
      <c r="Z21" s="66">
        <f t="shared" si="0"/>
        <v>6.0769163989929679E-4</v>
      </c>
    </row>
    <row r="22" spans="1:26" x14ac:dyDescent="0.25">
      <c r="A22" s="6" t="s">
        <v>30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>
        <v>1.1000000000000001</v>
      </c>
      <c r="Y22" s="10">
        <v>1.1000000000000001</v>
      </c>
      <c r="Z22" s="19">
        <f t="shared" si="0"/>
        <v>5.3052444753113215E-4</v>
      </c>
    </row>
    <row r="23" spans="1:26" x14ac:dyDescent="0.25">
      <c r="A23" s="6" t="s">
        <v>31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v>0.16</v>
      </c>
      <c r="Y23" s="10">
        <v>0.16</v>
      </c>
      <c r="Z23" s="19">
        <f t="shared" si="0"/>
        <v>7.716719236816468E-5</v>
      </c>
    </row>
    <row r="24" spans="1:26" x14ac:dyDescent="0.25">
      <c r="A24" s="14" t="s">
        <v>32</v>
      </c>
      <c r="B24" s="40">
        <v>88.47</v>
      </c>
      <c r="C24" s="40">
        <v>139.44999999999999</v>
      </c>
      <c r="D24" s="40">
        <v>9.74</v>
      </c>
      <c r="E24" s="40">
        <v>0.67</v>
      </c>
      <c r="F24" s="40">
        <v>67.31</v>
      </c>
      <c r="G24" s="40">
        <v>14.739999999999998</v>
      </c>
      <c r="H24" s="40">
        <v>19.25</v>
      </c>
      <c r="I24" s="40">
        <v>12.05</v>
      </c>
      <c r="J24" s="40">
        <v>39.68</v>
      </c>
      <c r="K24" s="40">
        <v>32.119999999999997</v>
      </c>
      <c r="L24" s="40">
        <v>5.9799999999999995</v>
      </c>
      <c r="M24" s="40">
        <v>19.97</v>
      </c>
      <c r="N24" s="40">
        <v>49.690000000000005</v>
      </c>
      <c r="O24" s="40">
        <v>31.8</v>
      </c>
      <c r="P24" s="40">
        <v>20.62</v>
      </c>
      <c r="Q24" s="40">
        <v>75.89</v>
      </c>
      <c r="R24" s="40">
        <v>9.5299999999999994</v>
      </c>
      <c r="S24" s="40">
        <v>41</v>
      </c>
      <c r="T24" s="40">
        <v>51.489999999999995</v>
      </c>
      <c r="U24" s="40">
        <v>31.499999999999996</v>
      </c>
      <c r="V24" s="40">
        <v>69.08</v>
      </c>
      <c r="W24" s="40">
        <v>18.78</v>
      </c>
      <c r="X24" s="40">
        <v>8.5499999999999989</v>
      </c>
      <c r="Y24" s="40">
        <v>857.36</v>
      </c>
      <c r="Z24" s="66">
        <f t="shared" si="0"/>
        <v>0.41350040030481039</v>
      </c>
    </row>
    <row r="25" spans="1:26" x14ac:dyDescent="0.25">
      <c r="A25" s="6" t="s">
        <v>32</v>
      </c>
      <c r="B25" s="10">
        <v>88.47</v>
      </c>
      <c r="C25" s="10">
        <v>139.44999999999999</v>
      </c>
      <c r="D25" s="10">
        <v>9.74</v>
      </c>
      <c r="E25" s="10">
        <v>0.67</v>
      </c>
      <c r="F25" s="10">
        <v>67.31</v>
      </c>
      <c r="G25" s="10">
        <v>14.739999999999998</v>
      </c>
      <c r="H25" s="10">
        <v>19.25</v>
      </c>
      <c r="I25" s="10">
        <v>12.05</v>
      </c>
      <c r="J25" s="10">
        <v>39.68</v>
      </c>
      <c r="K25" s="10">
        <v>32.119999999999997</v>
      </c>
      <c r="L25" s="10">
        <v>5.9799999999999995</v>
      </c>
      <c r="M25" s="10">
        <v>19.97</v>
      </c>
      <c r="N25" s="10">
        <v>49.690000000000005</v>
      </c>
      <c r="O25" s="10">
        <v>31.8</v>
      </c>
      <c r="P25" s="10">
        <v>20.62</v>
      </c>
      <c r="Q25" s="10">
        <v>75.89</v>
      </c>
      <c r="R25" s="10">
        <v>9.5299999999999994</v>
      </c>
      <c r="S25" s="10">
        <v>41</v>
      </c>
      <c r="T25" s="10">
        <v>51.489999999999995</v>
      </c>
      <c r="U25" s="10">
        <v>31.499999999999996</v>
      </c>
      <c r="V25" s="10">
        <v>69.08</v>
      </c>
      <c r="W25" s="10">
        <v>18.78</v>
      </c>
      <c r="X25" s="10">
        <v>8.5499999999999989</v>
      </c>
      <c r="Y25" s="10">
        <v>857.36</v>
      </c>
      <c r="Z25" s="19">
        <f t="shared" si="0"/>
        <v>0.41350040030481039</v>
      </c>
    </row>
    <row r="26" spans="1:26" x14ac:dyDescent="0.25">
      <c r="A26" s="39" t="s">
        <v>33</v>
      </c>
      <c r="B26" s="41">
        <v>297.75000000000011</v>
      </c>
      <c r="C26" s="41">
        <v>172.66</v>
      </c>
      <c r="D26" s="41">
        <v>44.96</v>
      </c>
      <c r="E26" s="41">
        <v>27.939999999999998</v>
      </c>
      <c r="F26" s="41">
        <v>92.740000000000009</v>
      </c>
      <c r="G26" s="41">
        <v>45.76</v>
      </c>
      <c r="H26" s="41">
        <v>87.97999999999999</v>
      </c>
      <c r="I26" s="41">
        <v>70.53</v>
      </c>
      <c r="J26" s="41">
        <v>88.70999999999998</v>
      </c>
      <c r="K26" s="41">
        <v>50.449999999999996</v>
      </c>
      <c r="L26" s="41">
        <v>32.22</v>
      </c>
      <c r="M26" s="41">
        <v>111.01</v>
      </c>
      <c r="N26" s="41">
        <v>61.05</v>
      </c>
      <c r="O26" s="41">
        <v>41.160000000000004</v>
      </c>
      <c r="P26" s="41">
        <v>36.94</v>
      </c>
      <c r="Q26" s="41">
        <v>99.710000000000008</v>
      </c>
      <c r="R26" s="41">
        <v>37.85</v>
      </c>
      <c r="S26" s="41">
        <v>105.73</v>
      </c>
      <c r="T26" s="41">
        <v>118.96</v>
      </c>
      <c r="U26" s="41">
        <v>117.15</v>
      </c>
      <c r="V26" s="41">
        <v>186.26000000000002</v>
      </c>
      <c r="W26" s="41">
        <v>131.25</v>
      </c>
      <c r="X26" s="41">
        <v>14.650000000000002</v>
      </c>
      <c r="Y26" s="41">
        <v>2073.42</v>
      </c>
      <c r="Z26" s="64">
        <f t="shared" si="0"/>
        <v>1</v>
      </c>
    </row>
    <row r="30" spans="1:26" ht="15.75" x14ac:dyDescent="0.25">
      <c r="A30" s="67" t="s">
        <v>56</v>
      </c>
      <c r="B30" s="68" t="s">
        <v>188</v>
      </c>
      <c r="C30" s="68">
        <v>2000</v>
      </c>
      <c r="D30" s="68">
        <v>2001</v>
      </c>
      <c r="E30" s="68">
        <v>2002</v>
      </c>
      <c r="F30" s="68">
        <v>2003</v>
      </c>
      <c r="G30" s="68">
        <v>2004</v>
      </c>
      <c r="H30" s="68">
        <v>2005</v>
      </c>
      <c r="I30" s="68">
        <v>2006</v>
      </c>
      <c r="J30" s="68">
        <v>2007</v>
      </c>
      <c r="K30" s="68">
        <v>2008</v>
      </c>
      <c r="L30" s="68">
        <v>2009</v>
      </c>
      <c r="M30" s="68">
        <v>2010</v>
      </c>
      <c r="N30" s="68">
        <v>2011</v>
      </c>
      <c r="O30" s="68">
        <v>2012</v>
      </c>
      <c r="P30" s="68">
        <v>2013</v>
      </c>
      <c r="Q30" s="68">
        <v>2014</v>
      </c>
      <c r="R30" s="68">
        <v>2015</v>
      </c>
      <c r="S30" s="68">
        <v>2016</v>
      </c>
      <c r="T30" s="68">
        <v>2017</v>
      </c>
      <c r="U30" s="68">
        <v>2018</v>
      </c>
      <c r="V30" s="68">
        <v>2019</v>
      </c>
      <c r="W30" s="68">
        <v>2020</v>
      </c>
      <c r="X30" s="69" t="s">
        <v>53</v>
      </c>
    </row>
    <row r="31" spans="1:26" x14ac:dyDescent="0.25">
      <c r="A31" s="70" t="s">
        <v>4</v>
      </c>
      <c r="B31" s="19">
        <f>B4/$Y$4</f>
        <v>0.18383875936056082</v>
      </c>
      <c r="C31" s="19">
        <f t="shared" ref="C31:W31" si="1">C4/$Y$4</f>
        <v>3.3180200754155821E-2</v>
      </c>
      <c r="D31" s="19">
        <f t="shared" si="1"/>
        <v>2.5930745127197407E-2</v>
      </c>
      <c r="E31" s="19">
        <f t="shared" si="1"/>
        <v>3.2808433798927186E-2</v>
      </c>
      <c r="F31" s="19">
        <f t="shared" si="1"/>
        <v>1.5189335599341445E-2</v>
      </c>
      <c r="G31" s="19">
        <f t="shared" si="1"/>
        <v>2.6634446863880185E-2</v>
      </c>
      <c r="H31" s="19">
        <f t="shared" si="1"/>
        <v>5.5034786765096398E-2</v>
      </c>
      <c r="I31" s="19">
        <f t="shared" si="1"/>
        <v>6.5842583249243192E-2</v>
      </c>
      <c r="J31" s="19">
        <f t="shared" si="1"/>
        <v>3.397684422964576E-2</v>
      </c>
      <c r="K31" s="19">
        <f t="shared" si="1"/>
        <v>1.6344468638801846E-2</v>
      </c>
      <c r="L31" s="19">
        <f t="shared" si="1"/>
        <v>2.0619788623931171E-2</v>
      </c>
      <c r="M31" s="19">
        <f t="shared" si="1"/>
        <v>2.7112432949174144E-2</v>
      </c>
      <c r="N31" s="19">
        <f t="shared" si="1"/>
        <v>5.7889425885601989E-3</v>
      </c>
      <c r="O31" s="19">
        <f t="shared" si="1"/>
        <v>2.3899304264698076E-3</v>
      </c>
      <c r="P31" s="19">
        <f t="shared" si="1"/>
        <v>7.8203834510595354E-3</v>
      </c>
      <c r="Q31" s="19">
        <f t="shared" si="1"/>
        <v>1.1484943438313241E-2</v>
      </c>
      <c r="R31" s="19">
        <f t="shared" si="1"/>
        <v>9.3207286632322472E-3</v>
      </c>
      <c r="S31" s="19">
        <f t="shared" si="1"/>
        <v>5.4941845026289238E-2</v>
      </c>
      <c r="T31" s="19">
        <f t="shared" si="1"/>
        <v>6.9307982367624421E-2</v>
      </c>
      <c r="U31" s="19">
        <f t="shared" si="1"/>
        <v>7.7858622337883057E-2</v>
      </c>
      <c r="V31" s="19">
        <f t="shared" si="1"/>
        <v>0.11194168569759415</v>
      </c>
      <c r="W31" s="19">
        <f t="shared" si="1"/>
        <v>0.11232673004408093</v>
      </c>
      <c r="X31" s="113">
        <f>X4/Y4</f>
        <v>3.0537999893780871E-4</v>
      </c>
    </row>
    <row r="32" spans="1:26" x14ac:dyDescent="0.25">
      <c r="A32" s="70" t="s">
        <v>14</v>
      </c>
      <c r="B32" s="19">
        <f>B11/$Y$11</f>
        <v>0.15320297870487307</v>
      </c>
      <c r="C32" s="19">
        <f t="shared" ref="C32:W32" si="2">C11/$Y$11</f>
        <v>1.7898358228454477E-2</v>
      </c>
      <c r="D32" s="19">
        <f t="shared" si="2"/>
        <v>3.41636545747507E-2</v>
      </c>
      <c r="E32" s="19">
        <f t="shared" si="2"/>
        <v>5.5741845577668443E-3</v>
      </c>
      <c r="F32" s="19">
        <f t="shared" si="2"/>
        <v>3.0462047641858652E-2</v>
      </c>
      <c r="G32" s="19">
        <f t="shared" si="2"/>
        <v>2.3864477637939301E-2</v>
      </c>
      <c r="H32" s="19">
        <f t="shared" si="2"/>
        <v>5.9399904193702932E-2</v>
      </c>
      <c r="I32" s="19">
        <f t="shared" si="2"/>
        <v>1.9357226843182519E-2</v>
      </c>
      <c r="J32" s="19">
        <f t="shared" si="2"/>
        <v>5.1038627357052661E-2</v>
      </c>
      <c r="K32" s="19">
        <f t="shared" si="2"/>
        <v>1.3108043374123593E-2</v>
      </c>
      <c r="L32" s="19">
        <f t="shared" si="2"/>
        <v>2.3320123677219882E-2</v>
      </c>
      <c r="M32" s="19">
        <f t="shared" si="2"/>
        <v>0.15357313939816231</v>
      </c>
      <c r="N32" s="19">
        <f t="shared" si="2"/>
        <v>1.5241910900143712E-2</v>
      </c>
      <c r="O32" s="19">
        <f t="shared" si="2"/>
        <v>1.6178199712581113E-2</v>
      </c>
      <c r="P32" s="19">
        <f t="shared" si="2"/>
        <v>2.2710447241214134E-2</v>
      </c>
      <c r="Q32" s="19">
        <f t="shared" si="2"/>
        <v>3.3031398336454305E-2</v>
      </c>
      <c r="R32" s="19">
        <f t="shared" si="2"/>
        <v>4.6378957453294435E-2</v>
      </c>
      <c r="S32" s="19">
        <f t="shared" si="2"/>
        <v>5.0777337455907345E-2</v>
      </c>
      <c r="T32" s="19">
        <f t="shared" si="2"/>
        <v>3.3031398336454305E-2</v>
      </c>
      <c r="U32" s="19">
        <f t="shared" si="2"/>
        <v>5.8659582807124515E-2</v>
      </c>
      <c r="V32" s="19">
        <f t="shared" si="2"/>
        <v>7.1571658755389136E-2</v>
      </c>
      <c r="W32" s="19">
        <f t="shared" si="2"/>
        <v>5.7570874885685686E-2</v>
      </c>
      <c r="X32" s="113">
        <f>X11/Y11</f>
        <v>9.8854679266646359E-3</v>
      </c>
    </row>
    <row r="33" spans="1:26" x14ac:dyDescent="0.25">
      <c r="A33" s="70" t="s">
        <v>18</v>
      </c>
      <c r="B33" s="19">
        <f>B15/$Y$15</f>
        <v>0</v>
      </c>
      <c r="C33" s="19">
        <f t="shared" ref="C33:W33" si="3">C15/$Y$15</f>
        <v>0</v>
      </c>
      <c r="D33" s="19">
        <f t="shared" si="3"/>
        <v>0</v>
      </c>
      <c r="E33" s="19">
        <f t="shared" si="3"/>
        <v>0</v>
      </c>
      <c r="F33" s="19">
        <f t="shared" si="3"/>
        <v>0</v>
      </c>
      <c r="G33" s="19">
        <f t="shared" si="3"/>
        <v>0</v>
      </c>
      <c r="H33" s="19">
        <f t="shared" si="3"/>
        <v>0</v>
      </c>
      <c r="I33" s="19">
        <f t="shared" si="3"/>
        <v>0</v>
      </c>
      <c r="J33" s="19">
        <f t="shared" si="3"/>
        <v>0</v>
      </c>
      <c r="K33" s="19">
        <f t="shared" si="3"/>
        <v>0</v>
      </c>
      <c r="L33" s="19">
        <f t="shared" si="3"/>
        <v>0</v>
      </c>
      <c r="M33" s="19">
        <f t="shared" si="3"/>
        <v>0</v>
      </c>
      <c r="N33" s="19">
        <f t="shared" si="3"/>
        <v>0</v>
      </c>
      <c r="O33" s="19">
        <f t="shared" si="3"/>
        <v>0</v>
      </c>
      <c r="P33" s="19">
        <f t="shared" si="3"/>
        <v>0</v>
      </c>
      <c r="Q33" s="19">
        <f t="shared" si="3"/>
        <v>0</v>
      </c>
      <c r="R33" s="19">
        <f t="shared" si="3"/>
        <v>0</v>
      </c>
      <c r="S33" s="19">
        <f t="shared" si="3"/>
        <v>0</v>
      </c>
      <c r="T33" s="19">
        <f t="shared" si="3"/>
        <v>0</v>
      </c>
      <c r="U33" s="19">
        <f t="shared" si="3"/>
        <v>0</v>
      </c>
      <c r="V33" s="19">
        <f t="shared" si="3"/>
        <v>0</v>
      </c>
      <c r="W33" s="19">
        <f t="shared" si="3"/>
        <v>0</v>
      </c>
      <c r="X33" s="113">
        <f>X15/Y15</f>
        <v>1</v>
      </c>
    </row>
    <row r="34" spans="1:26" x14ac:dyDescent="0.25">
      <c r="A34" s="70" t="s">
        <v>19</v>
      </c>
      <c r="B34" s="19">
        <f>B17/$Y$17</f>
        <v>8.4158415841584164E-2</v>
      </c>
      <c r="C34" s="19">
        <f t="shared" ref="C34:W34" si="4">C17/$Y$17</f>
        <v>0</v>
      </c>
      <c r="D34" s="19">
        <f t="shared" si="4"/>
        <v>0</v>
      </c>
      <c r="E34" s="19">
        <f t="shared" si="4"/>
        <v>0</v>
      </c>
      <c r="F34" s="19">
        <f t="shared" si="4"/>
        <v>0</v>
      </c>
      <c r="G34" s="19">
        <f t="shared" si="4"/>
        <v>0</v>
      </c>
      <c r="H34" s="19">
        <f t="shared" si="4"/>
        <v>0</v>
      </c>
      <c r="I34" s="19">
        <f t="shared" si="4"/>
        <v>0</v>
      </c>
      <c r="J34" s="19">
        <f t="shared" si="4"/>
        <v>0</v>
      </c>
      <c r="K34" s="19">
        <f t="shared" si="4"/>
        <v>0</v>
      </c>
      <c r="L34" s="19">
        <f t="shared" si="4"/>
        <v>0</v>
      </c>
      <c r="M34" s="19">
        <f t="shared" si="4"/>
        <v>4.4554455445544552E-2</v>
      </c>
      <c r="N34" s="19">
        <f t="shared" si="4"/>
        <v>0</v>
      </c>
      <c r="O34" s="19">
        <f t="shared" si="4"/>
        <v>6.4356435643564358E-2</v>
      </c>
      <c r="P34" s="19">
        <f t="shared" si="4"/>
        <v>0</v>
      </c>
      <c r="Q34" s="19">
        <f t="shared" si="4"/>
        <v>0</v>
      </c>
      <c r="R34" s="19">
        <f t="shared" si="4"/>
        <v>0</v>
      </c>
      <c r="S34" s="19">
        <f t="shared" si="4"/>
        <v>1.4851485148514851E-2</v>
      </c>
      <c r="T34" s="19">
        <f t="shared" si="4"/>
        <v>4.9504950495049507E-2</v>
      </c>
      <c r="U34" s="19">
        <f t="shared" si="4"/>
        <v>3.4653465346534656E-2</v>
      </c>
      <c r="V34" s="19">
        <f t="shared" si="4"/>
        <v>0</v>
      </c>
      <c r="W34" s="19">
        <f t="shared" si="4"/>
        <v>0.70792079207920788</v>
      </c>
      <c r="X34" s="113">
        <f>X17/Y17</f>
        <v>0</v>
      </c>
    </row>
    <row r="35" spans="1:26" x14ac:dyDescent="0.25">
      <c r="A35" s="70" t="s">
        <v>28</v>
      </c>
      <c r="B35" s="19">
        <f>B19/$Y$19</f>
        <v>1</v>
      </c>
      <c r="C35" s="19">
        <f t="shared" ref="C35:W35" si="5">C19/$Y$19</f>
        <v>0</v>
      </c>
      <c r="D35" s="19">
        <f t="shared" si="5"/>
        <v>0</v>
      </c>
      <c r="E35" s="19">
        <f t="shared" si="5"/>
        <v>0</v>
      </c>
      <c r="F35" s="19">
        <f t="shared" si="5"/>
        <v>0</v>
      </c>
      <c r="G35" s="19">
        <f t="shared" si="5"/>
        <v>0</v>
      </c>
      <c r="H35" s="19">
        <f t="shared" si="5"/>
        <v>0</v>
      </c>
      <c r="I35" s="19">
        <f t="shared" si="5"/>
        <v>0</v>
      </c>
      <c r="J35" s="19">
        <f t="shared" si="5"/>
        <v>0</v>
      </c>
      <c r="K35" s="19">
        <f t="shared" si="5"/>
        <v>0</v>
      </c>
      <c r="L35" s="19">
        <f t="shared" si="5"/>
        <v>0</v>
      </c>
      <c r="M35" s="19">
        <f t="shared" si="5"/>
        <v>0</v>
      </c>
      <c r="N35" s="19">
        <f t="shared" si="5"/>
        <v>0</v>
      </c>
      <c r="O35" s="19">
        <f t="shared" si="5"/>
        <v>0</v>
      </c>
      <c r="P35" s="19">
        <f t="shared" si="5"/>
        <v>0</v>
      </c>
      <c r="Q35" s="19">
        <f t="shared" si="5"/>
        <v>0</v>
      </c>
      <c r="R35" s="19">
        <f t="shared" si="5"/>
        <v>0</v>
      </c>
      <c r="S35" s="19">
        <f t="shared" si="5"/>
        <v>0</v>
      </c>
      <c r="T35" s="19">
        <f t="shared" si="5"/>
        <v>0</v>
      </c>
      <c r="U35" s="19">
        <f t="shared" si="5"/>
        <v>0</v>
      </c>
      <c r="V35" s="19">
        <f t="shared" si="5"/>
        <v>0</v>
      </c>
      <c r="W35" s="19">
        <f t="shared" si="5"/>
        <v>0</v>
      </c>
      <c r="X35" s="113">
        <f>X19/Y19</f>
        <v>0</v>
      </c>
    </row>
    <row r="36" spans="1:26" x14ac:dyDescent="0.25">
      <c r="A36" s="70" t="s">
        <v>29</v>
      </c>
      <c r="B36" s="19">
        <f>B21/$Y$21</f>
        <v>0</v>
      </c>
      <c r="C36" s="19">
        <f t="shared" ref="C36:W36" si="6">C21/$Y$21</f>
        <v>0</v>
      </c>
      <c r="D36" s="19">
        <f t="shared" si="6"/>
        <v>0</v>
      </c>
      <c r="E36" s="19">
        <f t="shared" si="6"/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6"/>
        <v>0</v>
      </c>
      <c r="J36" s="19">
        <f t="shared" si="6"/>
        <v>0</v>
      </c>
      <c r="K36" s="19">
        <f t="shared" si="6"/>
        <v>0</v>
      </c>
      <c r="L36" s="19">
        <f t="shared" si="6"/>
        <v>0</v>
      </c>
      <c r="M36" s="19">
        <f t="shared" si="6"/>
        <v>0</v>
      </c>
      <c r="N36" s="19">
        <f t="shared" si="6"/>
        <v>0</v>
      </c>
      <c r="O36" s="19">
        <f t="shared" si="6"/>
        <v>0</v>
      </c>
      <c r="P36" s="19">
        <f t="shared" si="6"/>
        <v>0</v>
      </c>
      <c r="Q36" s="19">
        <f t="shared" si="6"/>
        <v>0</v>
      </c>
      <c r="R36" s="19">
        <f t="shared" si="6"/>
        <v>0</v>
      </c>
      <c r="S36" s="19">
        <f t="shared" si="6"/>
        <v>0</v>
      </c>
      <c r="T36" s="19">
        <f t="shared" si="6"/>
        <v>0</v>
      </c>
      <c r="U36" s="19">
        <f t="shared" si="6"/>
        <v>0</v>
      </c>
      <c r="V36" s="19">
        <f t="shared" si="6"/>
        <v>0</v>
      </c>
      <c r="W36" s="19">
        <f t="shared" si="6"/>
        <v>0</v>
      </c>
      <c r="X36" s="113">
        <f>X21/Y21</f>
        <v>1</v>
      </c>
    </row>
    <row r="37" spans="1:26" x14ac:dyDescent="0.25">
      <c r="A37" s="70" t="s">
        <v>32</v>
      </c>
      <c r="B37" s="19">
        <f>B24/$Y$24</f>
        <v>0.10318885882243164</v>
      </c>
      <c r="C37" s="19">
        <f t="shared" ref="C37:W37" si="7">C24/$Y$24</f>
        <v>0.16265046188298962</v>
      </c>
      <c r="D37" s="19">
        <f t="shared" si="7"/>
        <v>1.1360455351311001E-2</v>
      </c>
      <c r="E37" s="19">
        <f t="shared" si="7"/>
        <v>7.8146869459736867E-4</v>
      </c>
      <c r="F37" s="19">
        <f t="shared" si="7"/>
        <v>7.8508444527386395E-2</v>
      </c>
      <c r="G37" s="19">
        <f t="shared" si="7"/>
        <v>1.7192311281142108E-2</v>
      </c>
      <c r="H37" s="19">
        <f t="shared" si="7"/>
        <v>2.2452645329849773E-2</v>
      </c>
      <c r="I37" s="19">
        <f t="shared" si="7"/>
        <v>1.4054772790892974E-2</v>
      </c>
      <c r="J37" s="19">
        <f t="shared" si="7"/>
        <v>4.6281608659139682E-2</v>
      </c>
      <c r="K37" s="19">
        <f t="shared" si="7"/>
        <v>3.746384249323504E-2</v>
      </c>
      <c r="L37" s="19">
        <f t="shared" si="7"/>
        <v>6.9748996920780066E-3</v>
      </c>
      <c r="M37" s="19">
        <f t="shared" si="7"/>
        <v>2.329243258374545E-2</v>
      </c>
      <c r="N37" s="19">
        <f t="shared" si="7"/>
        <v>5.7956984230661569E-2</v>
      </c>
      <c r="O37" s="19">
        <f t="shared" si="7"/>
        <v>3.7090603713725856E-2</v>
      </c>
      <c r="P37" s="19">
        <f t="shared" si="7"/>
        <v>2.4050573854623496E-2</v>
      </c>
      <c r="Q37" s="19">
        <f t="shared" si="7"/>
        <v>8.8515909302976578E-2</v>
      </c>
      <c r="R37" s="19">
        <f t="shared" si="7"/>
        <v>1.1115517402258093E-2</v>
      </c>
      <c r="S37" s="19">
        <f t="shared" si="7"/>
        <v>4.7821218624615094E-2</v>
      </c>
      <c r="T37" s="19">
        <f t="shared" si="7"/>
        <v>6.0056452365400761E-2</v>
      </c>
      <c r="U37" s="19">
        <f t="shared" si="7"/>
        <v>3.6740692357935985E-2</v>
      </c>
      <c r="V37" s="19">
        <f t="shared" si="7"/>
        <v>8.0572921526546604E-2</v>
      </c>
      <c r="W37" s="19">
        <f t="shared" si="7"/>
        <v>2.1904450872445649E-2</v>
      </c>
      <c r="X37" s="113">
        <f>X24/Y24</f>
        <v>9.9724736400111959E-3</v>
      </c>
    </row>
    <row r="38" spans="1:26" x14ac:dyDescent="0.25">
      <c r="A38" s="70" t="s">
        <v>33</v>
      </c>
      <c r="B38" s="19">
        <f>B26/$Y$26</f>
        <v>0.14360332204763149</v>
      </c>
      <c r="C38" s="19">
        <f t="shared" ref="C38:W38" si="8">C26/$Y$26</f>
        <v>8.3273046464295702E-2</v>
      </c>
      <c r="D38" s="19">
        <f t="shared" si="8"/>
        <v>2.1683981055454275E-2</v>
      </c>
      <c r="E38" s="19">
        <f t="shared" si="8"/>
        <v>1.3475320967290755E-2</v>
      </c>
      <c r="F38" s="19">
        <f t="shared" si="8"/>
        <v>4.4728033876397455E-2</v>
      </c>
      <c r="G38" s="19">
        <f t="shared" si="8"/>
        <v>2.2069817017295094E-2</v>
      </c>
      <c r="H38" s="19">
        <f t="shared" si="8"/>
        <v>4.2432309903444543E-2</v>
      </c>
      <c r="I38" s="19">
        <f t="shared" si="8"/>
        <v>3.4016262985791593E-2</v>
      </c>
      <c r="J38" s="19">
        <f t="shared" si="8"/>
        <v>4.2784385218624293E-2</v>
      </c>
      <c r="K38" s="19">
        <f t="shared" si="8"/>
        <v>2.433178034358692E-2</v>
      </c>
      <c r="L38" s="19">
        <f t="shared" si="8"/>
        <v>1.5539543363139161E-2</v>
      </c>
      <c r="M38" s="19">
        <f t="shared" si="8"/>
        <v>5.3539562654937256E-2</v>
      </c>
      <c r="N38" s="19">
        <f t="shared" si="8"/>
        <v>2.9444106837977831E-2</v>
      </c>
      <c r="O38" s="19">
        <f t="shared" si="8"/>
        <v>1.9851260236710362E-2</v>
      </c>
      <c r="P38" s="19">
        <f t="shared" si="8"/>
        <v>1.7815975538000017E-2</v>
      </c>
      <c r="Q38" s="19">
        <f t="shared" si="8"/>
        <v>4.8089629693935626E-2</v>
      </c>
      <c r="R38" s="19">
        <f t="shared" si="8"/>
        <v>1.8254863944593955E-2</v>
      </c>
      <c r="S38" s="19">
        <f t="shared" si="8"/>
        <v>5.0993045306787818E-2</v>
      </c>
      <c r="T38" s="19">
        <f t="shared" si="8"/>
        <v>5.737380752573043E-2</v>
      </c>
      <c r="U38" s="19">
        <f t="shared" si="8"/>
        <v>5.6500853662065573E-2</v>
      </c>
      <c r="V38" s="19">
        <f t="shared" si="8"/>
        <v>8.9832257815589706E-2</v>
      </c>
      <c r="W38" s="19">
        <f t="shared" si="8"/>
        <v>6.3301212489510081E-2</v>
      </c>
      <c r="X38" s="113">
        <f>X26/Y26</f>
        <v>7.0656210512100789E-3</v>
      </c>
    </row>
    <row r="39" spans="1:26" x14ac:dyDescent="0.25">
      <c r="W39" s="190"/>
    </row>
    <row r="40" spans="1:26" x14ac:dyDescent="0.25">
      <c r="B40" s="190"/>
    </row>
    <row r="46" spans="1:26" x14ac:dyDescent="0.25">
      <c r="Y46" s="30"/>
      <c r="Z46" s="182"/>
    </row>
  </sheetData>
  <hyperlinks>
    <hyperlink ref="D1" r:id="rId1" location="INDICE!A1"/>
  </hyperlinks>
  <pageMargins left="0.7" right="0.7" top="0.75" bottom="0.75" header="0.3" footer="0.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opLeftCell="A58" workbookViewId="0">
      <selection activeCell="H46" sqref="H46"/>
    </sheetView>
  </sheetViews>
  <sheetFormatPr baseColWidth="10" defaultRowHeight="15" x14ac:dyDescent="0.25"/>
  <cols>
    <col min="1" max="1" width="18.85546875" customWidth="1"/>
    <col min="6" max="6" width="11.85546875" customWidth="1"/>
    <col min="9" max="9" width="20.42578125" customWidth="1"/>
    <col min="10" max="10" width="12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2" spans="1:14" ht="14.25" customHeight="1" x14ac:dyDescent="0.3">
      <c r="C2" s="124"/>
      <c r="D2" s="124"/>
      <c r="E2" s="124"/>
      <c r="F2" s="30"/>
      <c r="G2" s="31"/>
      <c r="H2" s="30"/>
    </row>
    <row r="3" spans="1:14" ht="15.75" x14ac:dyDescent="0.25">
      <c r="A3" s="212" t="s">
        <v>83</v>
      </c>
      <c r="B3" s="212"/>
      <c r="I3" s="212" t="s">
        <v>85</v>
      </c>
      <c r="J3" s="212"/>
    </row>
    <row r="4" spans="1:14" ht="15.75" x14ac:dyDescent="0.25">
      <c r="A4" s="125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1569.2</v>
      </c>
      <c r="C5" s="10">
        <v>978.18499999999995</v>
      </c>
      <c r="D5" s="10">
        <v>363.19</v>
      </c>
      <c r="E5" s="10">
        <v>402.26</v>
      </c>
      <c r="F5" s="10">
        <v>3312.835</v>
      </c>
      <c r="I5" s="43" t="s">
        <v>4</v>
      </c>
      <c r="J5" s="10">
        <v>31961.1350000001</v>
      </c>
      <c r="K5" s="10">
        <v>10735.514999999999</v>
      </c>
      <c r="L5" s="10">
        <v>2794.3139999999999</v>
      </c>
      <c r="M5" s="10">
        <v>1439.53449999999</v>
      </c>
      <c r="N5" s="10">
        <v>46930.498500000082</v>
      </c>
    </row>
    <row r="6" spans="1:14" x14ac:dyDescent="0.25">
      <c r="A6" s="43" t="s">
        <v>43</v>
      </c>
      <c r="B6" s="10">
        <v>1.31</v>
      </c>
      <c r="C6" s="10">
        <v>0.13</v>
      </c>
      <c r="D6" s="10">
        <v>0</v>
      </c>
      <c r="E6" s="10">
        <v>0</v>
      </c>
      <c r="F6" s="10">
        <v>1.44</v>
      </c>
      <c r="I6" s="43" t="s">
        <v>43</v>
      </c>
      <c r="J6" s="10">
        <v>79.87</v>
      </c>
      <c r="K6" s="10">
        <v>14.21</v>
      </c>
      <c r="L6" s="10">
        <v>2</v>
      </c>
      <c r="M6" s="10">
        <v>4.76</v>
      </c>
      <c r="N6" s="10">
        <v>100.84000000000002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125.84</v>
      </c>
      <c r="C8" s="10">
        <v>67.724999999999994</v>
      </c>
      <c r="D8" s="10">
        <v>27.524999999999999</v>
      </c>
      <c r="E8" s="10">
        <v>17.218333333333302</v>
      </c>
      <c r="F8" s="10">
        <v>238.30833333333331</v>
      </c>
      <c r="I8" s="43" t="s">
        <v>14</v>
      </c>
      <c r="J8" s="10">
        <v>32562.835000000101</v>
      </c>
      <c r="K8" s="10">
        <v>9122.2950000001001</v>
      </c>
      <c r="L8" s="10">
        <v>2783.2366666666699</v>
      </c>
      <c r="M8" s="10">
        <v>1554.52833333331</v>
      </c>
      <c r="N8" s="10">
        <v>46022.895000000179</v>
      </c>
    </row>
    <row r="9" spans="1:14" x14ac:dyDescent="0.25">
      <c r="A9" s="43" t="s">
        <v>36</v>
      </c>
      <c r="B9" s="10">
        <v>0</v>
      </c>
      <c r="C9" s="10">
        <v>0.35</v>
      </c>
      <c r="D9" s="10">
        <v>0.27</v>
      </c>
      <c r="E9" s="10">
        <v>0.23</v>
      </c>
      <c r="F9" s="10">
        <v>0.85</v>
      </c>
      <c r="I9" s="43" t="s">
        <v>36</v>
      </c>
      <c r="J9" s="10">
        <v>12.19</v>
      </c>
      <c r="K9" s="10">
        <v>5.15</v>
      </c>
      <c r="L9" s="10">
        <v>0</v>
      </c>
      <c r="M9" s="10">
        <v>1.51</v>
      </c>
      <c r="N9" s="10">
        <v>18.850000000000001</v>
      </c>
    </row>
    <row r="10" spans="1:14" x14ac:dyDescent="0.25">
      <c r="A10" s="43" t="s">
        <v>39</v>
      </c>
      <c r="B10" s="10">
        <v>0.45</v>
      </c>
      <c r="C10" s="10">
        <v>2.62</v>
      </c>
      <c r="D10" s="10">
        <v>0.22</v>
      </c>
      <c r="E10" s="10">
        <v>0</v>
      </c>
      <c r="F10" s="10">
        <v>3.2900000000000005</v>
      </c>
      <c r="I10" s="43" t="s">
        <v>39</v>
      </c>
      <c r="J10" s="10">
        <v>188.88</v>
      </c>
      <c r="K10" s="10">
        <v>110.21</v>
      </c>
      <c r="L10" s="10">
        <v>32.5</v>
      </c>
      <c r="M10" s="10">
        <v>11.48</v>
      </c>
      <c r="N10" s="10">
        <v>343.07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1.78</v>
      </c>
      <c r="F11" s="10">
        <v>1.78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1.1000000000000001</v>
      </c>
      <c r="C12" s="10">
        <v>0.55000000000000004</v>
      </c>
      <c r="D12" s="10">
        <v>0.41</v>
      </c>
      <c r="E12" s="10">
        <v>0.88</v>
      </c>
      <c r="F12" s="10">
        <v>2.94</v>
      </c>
      <c r="I12" s="43" t="s">
        <v>19</v>
      </c>
      <c r="J12" s="10">
        <v>1460.48999999999</v>
      </c>
      <c r="K12" s="10">
        <v>320.64333333333298</v>
      </c>
      <c r="L12" s="10">
        <v>112.45</v>
      </c>
      <c r="M12" s="10">
        <v>115.09</v>
      </c>
      <c r="N12" s="10">
        <v>2008.6733333333229</v>
      </c>
    </row>
    <row r="13" spans="1:14" x14ac:dyDescent="0.25">
      <c r="A13" s="43" t="s">
        <v>23</v>
      </c>
      <c r="B13" s="10">
        <v>66.05</v>
      </c>
      <c r="C13" s="10">
        <v>6.09</v>
      </c>
      <c r="D13" s="10">
        <v>5.95</v>
      </c>
      <c r="E13" s="10">
        <v>4.59</v>
      </c>
      <c r="F13" s="10">
        <v>82.68</v>
      </c>
      <c r="I13" s="43" t="s">
        <v>23</v>
      </c>
      <c r="J13" s="10">
        <v>98.29</v>
      </c>
      <c r="K13" s="10">
        <v>23.92</v>
      </c>
      <c r="L13" s="10">
        <v>5.48</v>
      </c>
      <c r="M13" s="10">
        <v>1.84</v>
      </c>
      <c r="N13" s="10">
        <v>129.53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78.942916666666704</v>
      </c>
      <c r="C15" s="10">
        <v>35.489952380952403</v>
      </c>
      <c r="D15" s="10">
        <v>8.3350000000000009</v>
      </c>
      <c r="E15" s="10">
        <v>20.716000000000001</v>
      </c>
      <c r="F15" s="10">
        <v>143.48386904761912</v>
      </c>
      <c r="I15" s="43" t="s">
        <v>160</v>
      </c>
      <c r="J15" s="10">
        <v>635.78650000000005</v>
      </c>
      <c r="K15" s="10">
        <v>124.063</v>
      </c>
      <c r="L15" s="10">
        <v>41.86</v>
      </c>
      <c r="M15" s="10">
        <v>39.384999999999998</v>
      </c>
      <c r="N15" s="10">
        <v>841.09450000000004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I17" s="43" t="s">
        <v>89</v>
      </c>
      <c r="J17" s="10">
        <v>63.45</v>
      </c>
      <c r="K17" s="10">
        <v>0</v>
      </c>
      <c r="L17" s="10">
        <v>0</v>
      </c>
      <c r="M17" s="10">
        <v>0</v>
      </c>
      <c r="N17" s="10">
        <v>63.45</v>
      </c>
    </row>
    <row r="18" spans="1:14" x14ac:dyDescent="0.25">
      <c r="A18" s="43" t="s">
        <v>32</v>
      </c>
      <c r="B18" s="10">
        <v>185.45</v>
      </c>
      <c r="C18" s="10">
        <v>62.79</v>
      </c>
      <c r="D18" s="10">
        <v>13.45</v>
      </c>
      <c r="E18" s="10">
        <v>6.63</v>
      </c>
      <c r="F18" s="10">
        <v>268.32</v>
      </c>
      <c r="I18" s="43" t="s">
        <v>32</v>
      </c>
      <c r="J18" s="10">
        <v>3522.76</v>
      </c>
      <c r="K18" s="10">
        <v>1137.625</v>
      </c>
      <c r="L18" s="10">
        <v>322.87</v>
      </c>
      <c r="M18" s="10">
        <v>168.65</v>
      </c>
      <c r="N18" s="10">
        <v>5151.9049999999997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0.19</v>
      </c>
      <c r="K19" s="10">
        <v>0</v>
      </c>
      <c r="L19" s="10">
        <v>0</v>
      </c>
      <c r="M19" s="10">
        <v>0</v>
      </c>
      <c r="N19" s="10">
        <v>0.19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0.03</v>
      </c>
      <c r="F20" s="10">
        <v>0.03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45">
        <v>2028.3429166666699</v>
      </c>
      <c r="C21" s="45">
        <v>1153.92995238095</v>
      </c>
      <c r="D21" s="45">
        <v>419.35</v>
      </c>
      <c r="E21" s="45">
        <v>454.33433333333301</v>
      </c>
      <c r="F21" s="45">
        <v>4055.9572023809524</v>
      </c>
      <c r="I21" s="44" t="s">
        <v>33</v>
      </c>
      <c r="J21" s="45">
        <v>70585.876499999998</v>
      </c>
      <c r="K21" s="45">
        <v>21593.631333333298</v>
      </c>
      <c r="L21" s="45">
        <v>6094.7106666666696</v>
      </c>
      <c r="M21" s="45">
        <v>3336.7778333333299</v>
      </c>
      <c r="N21" s="45">
        <v>101610.99633333329</v>
      </c>
    </row>
    <row r="22" spans="1:14" x14ac:dyDescent="0.25">
      <c r="I22" s="27"/>
    </row>
    <row r="24" spans="1:14" ht="15.75" x14ac:dyDescent="0.25">
      <c r="A24" s="212" t="s">
        <v>84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f>B5+J5</f>
        <v>33530.335000000101</v>
      </c>
      <c r="C26" s="10">
        <f>C5+K5</f>
        <v>11713.699999999999</v>
      </c>
      <c r="D26" s="10">
        <f>D5+L5</f>
        <v>3157.5039999999999</v>
      </c>
      <c r="E26" s="10">
        <f>E5+M5</f>
        <v>1841.79449999999</v>
      </c>
      <c r="F26" s="10">
        <f>F5+N5</f>
        <v>50243.333500000081</v>
      </c>
    </row>
    <row r="27" spans="1:14" x14ac:dyDescent="0.25">
      <c r="A27" s="43" t="s">
        <v>43</v>
      </c>
      <c r="B27" s="10">
        <f t="shared" ref="B27:B41" si="0">B6+J6</f>
        <v>81.180000000000007</v>
      </c>
      <c r="C27" s="10">
        <f t="shared" ref="C27:C41" si="1">C6+K6</f>
        <v>14.340000000000002</v>
      </c>
      <c r="D27" s="10">
        <f t="shared" ref="D27:D41" si="2">D6+L6</f>
        <v>2</v>
      </c>
      <c r="E27" s="10">
        <f t="shared" ref="E27:E41" si="3">E6+M6</f>
        <v>4.76</v>
      </c>
      <c r="F27" s="10">
        <f t="shared" ref="F27:F41" si="4">F6+N6</f>
        <v>102.28000000000002</v>
      </c>
    </row>
    <row r="28" spans="1:14" x14ac:dyDescent="0.25">
      <c r="A28" s="43" t="s">
        <v>13</v>
      </c>
      <c r="B28" s="10">
        <f t="shared" si="0"/>
        <v>0</v>
      </c>
      <c r="C28" s="10">
        <f t="shared" si="1"/>
        <v>0</v>
      </c>
      <c r="D28" s="10">
        <f t="shared" si="2"/>
        <v>0</v>
      </c>
      <c r="E28" s="10">
        <f t="shared" si="3"/>
        <v>0</v>
      </c>
      <c r="F28" s="10">
        <f t="shared" si="4"/>
        <v>0</v>
      </c>
    </row>
    <row r="29" spans="1:14" x14ac:dyDescent="0.25">
      <c r="A29" s="43" t="s">
        <v>14</v>
      </c>
      <c r="B29" s="10">
        <f t="shared" si="0"/>
        <v>32688.675000000101</v>
      </c>
      <c r="C29" s="10">
        <f t="shared" si="1"/>
        <v>9190.0200000001005</v>
      </c>
      <c r="D29" s="10">
        <f t="shared" si="2"/>
        <v>2810.76166666667</v>
      </c>
      <c r="E29" s="10">
        <f t="shared" si="3"/>
        <v>1571.7466666666433</v>
      </c>
      <c r="F29" s="10">
        <f t="shared" si="4"/>
        <v>46261.203333333513</v>
      </c>
    </row>
    <row r="30" spans="1:14" x14ac:dyDescent="0.25">
      <c r="A30" s="43" t="s">
        <v>36</v>
      </c>
      <c r="B30" s="10">
        <f t="shared" si="0"/>
        <v>12.19</v>
      </c>
      <c r="C30" s="10">
        <f t="shared" si="1"/>
        <v>5.5</v>
      </c>
      <c r="D30" s="10">
        <f t="shared" si="2"/>
        <v>0.27</v>
      </c>
      <c r="E30" s="10">
        <f t="shared" si="3"/>
        <v>1.74</v>
      </c>
      <c r="F30" s="10">
        <f t="shared" si="4"/>
        <v>19.700000000000003</v>
      </c>
    </row>
    <row r="31" spans="1:14" x14ac:dyDescent="0.25">
      <c r="A31" s="43" t="s">
        <v>39</v>
      </c>
      <c r="B31" s="10">
        <f t="shared" si="0"/>
        <v>189.32999999999998</v>
      </c>
      <c r="C31" s="10">
        <f t="shared" si="1"/>
        <v>112.83</v>
      </c>
      <c r="D31" s="10">
        <f t="shared" si="2"/>
        <v>32.72</v>
      </c>
      <c r="E31" s="10">
        <f t="shared" si="3"/>
        <v>11.48</v>
      </c>
      <c r="F31" s="10">
        <f t="shared" si="4"/>
        <v>346.36</v>
      </c>
    </row>
    <row r="32" spans="1:14" x14ac:dyDescent="0.25">
      <c r="A32" s="43" t="s">
        <v>18</v>
      </c>
      <c r="B32" s="10">
        <f t="shared" si="0"/>
        <v>0</v>
      </c>
      <c r="C32" s="10">
        <f t="shared" si="1"/>
        <v>0</v>
      </c>
      <c r="D32" s="10">
        <f t="shared" si="2"/>
        <v>0</v>
      </c>
      <c r="E32" s="10">
        <f t="shared" si="3"/>
        <v>1.78</v>
      </c>
      <c r="F32" s="10">
        <f t="shared" si="4"/>
        <v>1.78</v>
      </c>
    </row>
    <row r="33" spans="1:7" x14ac:dyDescent="0.25">
      <c r="A33" s="43" t="s">
        <v>19</v>
      </c>
      <c r="B33" s="10">
        <f t="shared" si="0"/>
        <v>1461.5899999999899</v>
      </c>
      <c r="C33" s="10">
        <f t="shared" si="1"/>
        <v>321.19333333333299</v>
      </c>
      <c r="D33" s="10">
        <f t="shared" si="2"/>
        <v>112.86</v>
      </c>
      <c r="E33" s="10">
        <f t="shared" si="3"/>
        <v>115.97</v>
      </c>
      <c r="F33" s="10">
        <f t="shared" si="4"/>
        <v>2011.613333333323</v>
      </c>
    </row>
    <row r="34" spans="1:7" x14ac:dyDescent="0.25">
      <c r="A34" s="43" t="s">
        <v>23</v>
      </c>
      <c r="B34" s="10">
        <f t="shared" si="0"/>
        <v>164.34</v>
      </c>
      <c r="C34" s="10">
        <f t="shared" si="1"/>
        <v>30.01</v>
      </c>
      <c r="D34" s="10">
        <f t="shared" si="2"/>
        <v>11.43</v>
      </c>
      <c r="E34" s="10">
        <f t="shared" si="3"/>
        <v>6.43</v>
      </c>
      <c r="F34" s="10">
        <f t="shared" si="4"/>
        <v>212.21</v>
      </c>
    </row>
    <row r="35" spans="1:7" x14ac:dyDescent="0.25">
      <c r="A35" s="43" t="s">
        <v>26</v>
      </c>
      <c r="B35" s="10">
        <f t="shared" si="0"/>
        <v>0</v>
      </c>
      <c r="C35" s="10">
        <f t="shared" si="1"/>
        <v>0</v>
      </c>
      <c r="D35" s="10">
        <f t="shared" si="2"/>
        <v>0</v>
      </c>
      <c r="E35" s="10">
        <f t="shared" si="3"/>
        <v>0</v>
      </c>
      <c r="F35" s="10">
        <f t="shared" si="4"/>
        <v>0</v>
      </c>
    </row>
    <row r="36" spans="1:7" x14ac:dyDescent="0.25">
      <c r="A36" s="43" t="s">
        <v>160</v>
      </c>
      <c r="B36" s="10">
        <f t="shared" si="0"/>
        <v>714.72941666666679</v>
      </c>
      <c r="C36" s="10">
        <f t="shared" si="1"/>
        <v>159.55295238095241</v>
      </c>
      <c r="D36" s="10">
        <f t="shared" si="2"/>
        <v>50.195</v>
      </c>
      <c r="E36" s="10">
        <f t="shared" si="3"/>
        <v>60.100999999999999</v>
      </c>
      <c r="F36" s="10">
        <f t="shared" si="4"/>
        <v>984.57836904761916</v>
      </c>
    </row>
    <row r="37" spans="1:7" x14ac:dyDescent="0.25">
      <c r="A37" s="43" t="s">
        <v>161</v>
      </c>
      <c r="B37" s="10">
        <f t="shared" si="0"/>
        <v>0</v>
      </c>
      <c r="C37" s="10">
        <f t="shared" si="1"/>
        <v>0</v>
      </c>
      <c r="D37" s="10">
        <f t="shared" si="2"/>
        <v>0</v>
      </c>
      <c r="E37" s="10">
        <f t="shared" si="3"/>
        <v>0</v>
      </c>
      <c r="F37" s="10">
        <f t="shared" si="4"/>
        <v>0</v>
      </c>
    </row>
    <row r="38" spans="1:7" x14ac:dyDescent="0.25">
      <c r="A38" s="43" t="s">
        <v>89</v>
      </c>
      <c r="B38" s="10">
        <f t="shared" si="0"/>
        <v>63.45</v>
      </c>
      <c r="C38" s="10">
        <f t="shared" si="1"/>
        <v>0</v>
      </c>
      <c r="D38" s="10">
        <f t="shared" si="2"/>
        <v>0</v>
      </c>
      <c r="E38" s="10">
        <f t="shared" si="3"/>
        <v>0</v>
      </c>
      <c r="F38" s="10">
        <f t="shared" si="4"/>
        <v>63.45</v>
      </c>
    </row>
    <row r="39" spans="1:7" x14ac:dyDescent="0.25">
      <c r="A39" s="43" t="s">
        <v>32</v>
      </c>
      <c r="B39" s="10">
        <f t="shared" si="0"/>
        <v>3708.21</v>
      </c>
      <c r="C39" s="10">
        <f t="shared" si="1"/>
        <v>1200.415</v>
      </c>
      <c r="D39" s="10">
        <f t="shared" si="2"/>
        <v>336.32</v>
      </c>
      <c r="E39" s="10">
        <f t="shared" si="3"/>
        <v>175.28</v>
      </c>
      <c r="F39" s="10">
        <f t="shared" si="4"/>
        <v>5420.2249999999995</v>
      </c>
    </row>
    <row r="40" spans="1:7" x14ac:dyDescent="0.25">
      <c r="A40" s="43" t="s">
        <v>90</v>
      </c>
      <c r="B40" s="10">
        <f t="shared" si="0"/>
        <v>0.19</v>
      </c>
      <c r="C40" s="10">
        <f t="shared" si="1"/>
        <v>0</v>
      </c>
      <c r="D40" s="10">
        <f t="shared" si="2"/>
        <v>0</v>
      </c>
      <c r="E40" s="10">
        <f t="shared" si="3"/>
        <v>0</v>
      </c>
      <c r="F40" s="10">
        <f t="shared" si="4"/>
        <v>0.19</v>
      </c>
    </row>
    <row r="41" spans="1:7" x14ac:dyDescent="0.25">
      <c r="A41" s="43" t="s">
        <v>91</v>
      </c>
      <c r="B41" s="10">
        <f t="shared" si="0"/>
        <v>0</v>
      </c>
      <c r="C41" s="10">
        <f t="shared" si="1"/>
        <v>0</v>
      </c>
      <c r="D41" s="10">
        <f t="shared" si="2"/>
        <v>0</v>
      </c>
      <c r="E41" s="10">
        <f t="shared" si="3"/>
        <v>0.03</v>
      </c>
      <c r="F41" s="10">
        <f t="shared" si="4"/>
        <v>0.03</v>
      </c>
    </row>
    <row r="42" spans="1:7" x14ac:dyDescent="0.25">
      <c r="A42" s="44" t="s">
        <v>33</v>
      </c>
      <c r="B42" s="45">
        <f>B21+J21</f>
        <v>72614.219416666674</v>
      </c>
      <c r="C42" s="45">
        <f>C21+K21</f>
        <v>22747.561285714248</v>
      </c>
      <c r="D42" s="45">
        <f>D21+L21</f>
        <v>6514.0606666666699</v>
      </c>
      <c r="E42" s="45">
        <f>E21+M21</f>
        <v>3791.1121666666631</v>
      </c>
      <c r="F42" s="45">
        <f>F21+N21</f>
        <v>105666.95353571424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0.66735888453738934</v>
      </c>
      <c r="C46" s="19">
        <f t="shared" ref="C46:F46" si="5">IFERROR(C26/$F26,"")</f>
        <v>0.23313938753685562</v>
      </c>
      <c r="D46" s="19">
        <f t="shared" si="5"/>
        <v>6.284423783306485E-2</v>
      </c>
      <c r="E46" s="19">
        <f t="shared" si="5"/>
        <v>3.6657490092690349E-2</v>
      </c>
      <c r="F46" s="19">
        <f t="shared" si="5"/>
        <v>1</v>
      </c>
      <c r="G46" s="19">
        <f>IFERROR(F26/$F$42,"")</f>
        <v>0.47548766969058492</v>
      </c>
    </row>
    <row r="47" spans="1:7" x14ac:dyDescent="0.25">
      <c r="A47" s="43" t="s">
        <v>43</v>
      </c>
      <c r="B47" s="19">
        <f t="shared" ref="B47:F62" si="6">IFERROR(B27/$F27,"")</f>
        <v>0.79370355885803667</v>
      </c>
      <c r="C47" s="19">
        <f t="shared" si="6"/>
        <v>0.14020336331638639</v>
      </c>
      <c r="D47" s="19">
        <f t="shared" si="6"/>
        <v>1.9554165037152911E-2</v>
      </c>
      <c r="E47" s="19">
        <f t="shared" si="6"/>
        <v>4.6538912788423925E-2</v>
      </c>
      <c r="F47" s="19">
        <f t="shared" si="6"/>
        <v>1</v>
      </c>
      <c r="G47" s="19">
        <f t="shared" ref="G47:G61" si="7">IFERROR(F27/$F$42,"")</f>
        <v>9.6794689898417976E-4</v>
      </c>
    </row>
    <row r="48" spans="1:7" x14ac:dyDescent="0.25">
      <c r="A48" s="43" t="s">
        <v>13</v>
      </c>
      <c r="B48" s="19" t="str">
        <f t="shared" si="6"/>
        <v/>
      </c>
      <c r="C48" s="19" t="str">
        <f t="shared" si="6"/>
        <v/>
      </c>
      <c r="D48" s="19" t="str">
        <f t="shared" si="6"/>
        <v/>
      </c>
      <c r="E48" s="19" t="str">
        <f t="shared" si="6"/>
        <v/>
      </c>
      <c r="F48" s="19" t="str">
        <f t="shared" si="6"/>
        <v/>
      </c>
      <c r="G48" s="19">
        <f t="shared" si="7"/>
        <v>0</v>
      </c>
    </row>
    <row r="49" spans="1:7" x14ac:dyDescent="0.25">
      <c r="A49" s="43" t="s">
        <v>14</v>
      </c>
      <c r="B49" s="19">
        <f t="shared" si="6"/>
        <v>0.70661099678845307</v>
      </c>
      <c r="C49" s="19">
        <f t="shared" si="6"/>
        <v>0.19865501408992167</v>
      </c>
      <c r="D49" s="19">
        <f t="shared" si="6"/>
        <v>6.0758507434703402E-2</v>
      </c>
      <c r="E49" s="19">
        <f t="shared" si="6"/>
        <v>3.3975481686921903E-2</v>
      </c>
      <c r="F49" s="19">
        <f t="shared" si="6"/>
        <v>1</v>
      </c>
      <c r="G49" s="19">
        <f t="shared" si="7"/>
        <v>0.43780199755354682</v>
      </c>
    </row>
    <row r="50" spans="1:7" x14ac:dyDescent="0.25">
      <c r="A50" s="43" t="s">
        <v>36</v>
      </c>
      <c r="B50" s="19">
        <f t="shared" si="6"/>
        <v>0.61878172588832481</v>
      </c>
      <c r="C50" s="19">
        <f t="shared" si="6"/>
        <v>0.2791878172588832</v>
      </c>
      <c r="D50" s="19">
        <f t="shared" si="6"/>
        <v>1.3705583756345176E-2</v>
      </c>
      <c r="E50" s="19">
        <f t="shared" si="6"/>
        <v>8.8324873096446682E-2</v>
      </c>
      <c r="F50" s="19">
        <f t="shared" si="6"/>
        <v>1</v>
      </c>
      <c r="G50" s="19">
        <f t="shared" si="7"/>
        <v>1.8643482508787977E-4</v>
      </c>
    </row>
    <row r="51" spans="1:7" x14ac:dyDescent="0.25">
      <c r="A51" s="43" t="s">
        <v>39</v>
      </c>
      <c r="B51" s="19">
        <f t="shared" si="6"/>
        <v>0.54662778611848939</v>
      </c>
      <c r="C51" s="19">
        <f t="shared" si="6"/>
        <v>0.3257593255572237</v>
      </c>
      <c r="D51" s="19">
        <f t="shared" si="6"/>
        <v>9.446818339300149E-2</v>
      </c>
      <c r="E51" s="19">
        <f t="shared" si="6"/>
        <v>3.3144704931285365E-2</v>
      </c>
      <c r="F51" s="19">
        <f t="shared" si="6"/>
        <v>1</v>
      </c>
      <c r="G51" s="19">
        <f t="shared" si="7"/>
        <v>3.2778459907328947E-3</v>
      </c>
    </row>
    <row r="52" spans="1:7" x14ac:dyDescent="0.25">
      <c r="A52" s="43" t="s">
        <v>18</v>
      </c>
      <c r="B52" s="19">
        <f t="shared" si="6"/>
        <v>0</v>
      </c>
      <c r="C52" s="19">
        <f t="shared" si="6"/>
        <v>0</v>
      </c>
      <c r="D52" s="19">
        <f t="shared" si="6"/>
        <v>0</v>
      </c>
      <c r="E52" s="19">
        <f t="shared" si="6"/>
        <v>1</v>
      </c>
      <c r="F52" s="19">
        <f t="shared" si="6"/>
        <v>1</v>
      </c>
      <c r="G52" s="19">
        <f t="shared" si="7"/>
        <v>1.6845380134843957E-5</v>
      </c>
    </row>
    <row r="53" spans="1:7" x14ac:dyDescent="0.25">
      <c r="A53" s="43" t="s">
        <v>19</v>
      </c>
      <c r="B53" s="19">
        <f t="shared" si="6"/>
        <v>0.72657601527132321</v>
      </c>
      <c r="C53" s="19">
        <f t="shared" si="6"/>
        <v>0.15966951899304768</v>
      </c>
      <c r="D53" s="19">
        <f t="shared" si="6"/>
        <v>5.6104221487231098E-2</v>
      </c>
      <c r="E53" s="19">
        <f t="shared" si="6"/>
        <v>5.765024424839793E-2</v>
      </c>
      <c r="F53" s="19">
        <f t="shared" si="6"/>
        <v>1</v>
      </c>
      <c r="G53" s="19">
        <f t="shared" si="7"/>
        <v>1.90372984743373E-2</v>
      </c>
    </row>
    <row r="54" spans="1:7" x14ac:dyDescent="0.25">
      <c r="A54" s="43" t="s">
        <v>23</v>
      </c>
      <c r="B54" s="19">
        <f t="shared" si="6"/>
        <v>0.77442156354554448</v>
      </c>
      <c r="C54" s="19">
        <f t="shared" si="6"/>
        <v>0.14141652137034069</v>
      </c>
      <c r="D54" s="19">
        <f t="shared" si="6"/>
        <v>5.3861740728523629E-2</v>
      </c>
      <c r="E54" s="19">
        <f t="shared" si="6"/>
        <v>3.0300174355591156E-2</v>
      </c>
      <c r="F54" s="19">
        <f t="shared" si="6"/>
        <v>1</v>
      </c>
      <c r="G54" s="19">
        <f t="shared" si="7"/>
        <v>2.0082910777613687E-3</v>
      </c>
    </row>
    <row r="55" spans="1:7" x14ac:dyDescent="0.25">
      <c r="A55" s="43" t="s">
        <v>26</v>
      </c>
      <c r="B55" s="19" t="str">
        <f t="shared" si="6"/>
        <v/>
      </c>
      <c r="C55" s="19" t="str">
        <f t="shared" si="6"/>
        <v/>
      </c>
      <c r="D55" s="19" t="str">
        <f t="shared" si="6"/>
        <v/>
      </c>
      <c r="E55" s="19" t="str">
        <f t="shared" si="6"/>
        <v/>
      </c>
      <c r="F55" s="19" t="str">
        <f t="shared" si="6"/>
        <v/>
      </c>
      <c r="G55" s="19">
        <f t="shared" si="7"/>
        <v>0</v>
      </c>
    </row>
    <row r="56" spans="1:7" x14ac:dyDescent="0.25">
      <c r="A56" s="43" t="s">
        <v>160</v>
      </c>
      <c r="B56" s="19">
        <f t="shared" si="6"/>
        <v>0.72592435415580303</v>
      </c>
      <c r="C56" s="19">
        <f t="shared" si="6"/>
        <v>0.16205205943665782</v>
      </c>
      <c r="D56" s="19">
        <f t="shared" si="6"/>
        <v>5.09812134594766E-2</v>
      </c>
      <c r="E56" s="19">
        <f t="shared" si="6"/>
        <v>6.1042372948062619E-2</v>
      </c>
      <c r="F56" s="19">
        <f t="shared" si="6"/>
        <v>1</v>
      </c>
      <c r="G56" s="19">
        <f t="shared" si="7"/>
        <v>9.3177510669392276E-3</v>
      </c>
    </row>
    <row r="57" spans="1:7" x14ac:dyDescent="0.25">
      <c r="A57" s="43" t="s">
        <v>161</v>
      </c>
      <c r="B57" s="19" t="str">
        <f t="shared" si="6"/>
        <v/>
      </c>
      <c r="C57" s="19" t="str">
        <f t="shared" si="6"/>
        <v/>
      </c>
      <c r="D57" s="19" t="str">
        <f t="shared" si="6"/>
        <v/>
      </c>
      <c r="E57" s="19" t="str">
        <f t="shared" si="6"/>
        <v/>
      </c>
      <c r="F57" s="19" t="str">
        <f t="shared" si="6"/>
        <v/>
      </c>
      <c r="G57" s="19">
        <f t="shared" si="7"/>
        <v>0</v>
      </c>
    </row>
    <row r="58" spans="1:7" x14ac:dyDescent="0.25">
      <c r="A58" s="43" t="s">
        <v>89</v>
      </c>
      <c r="B58" s="19">
        <f t="shared" si="6"/>
        <v>1</v>
      </c>
      <c r="C58" s="19">
        <f t="shared" si="6"/>
        <v>0</v>
      </c>
      <c r="D58" s="19">
        <f t="shared" si="6"/>
        <v>0</v>
      </c>
      <c r="E58" s="19">
        <f t="shared" si="6"/>
        <v>0</v>
      </c>
      <c r="F58" s="19">
        <f t="shared" si="6"/>
        <v>1</v>
      </c>
      <c r="G58" s="19">
        <f t="shared" si="7"/>
        <v>6.0047155593025224E-4</v>
      </c>
    </row>
    <row r="59" spans="1:7" x14ac:dyDescent="0.25">
      <c r="A59" s="43" t="s">
        <v>32</v>
      </c>
      <c r="B59" s="19">
        <f t="shared" si="6"/>
        <v>0.68414318593785317</v>
      </c>
      <c r="C59" s="19">
        <f t="shared" si="6"/>
        <v>0.2214695884395943</v>
      </c>
      <c r="D59" s="19">
        <f t="shared" si="6"/>
        <v>6.2049084678219082E-2</v>
      </c>
      <c r="E59" s="19">
        <f t="shared" si="6"/>
        <v>3.2338140944333495E-2</v>
      </c>
      <c r="F59" s="19">
        <f t="shared" si="6"/>
        <v>1</v>
      </c>
      <c r="G59" s="19">
        <f t="shared" si="7"/>
        <v>5.1295365472687961E-2</v>
      </c>
    </row>
    <row r="60" spans="1:7" x14ac:dyDescent="0.25">
      <c r="A60" s="43" t="s">
        <v>90</v>
      </c>
      <c r="B60" s="19">
        <f t="shared" si="6"/>
        <v>1</v>
      </c>
      <c r="C60" s="19">
        <f t="shared" si="6"/>
        <v>0</v>
      </c>
      <c r="D60" s="19">
        <f t="shared" si="6"/>
        <v>0</v>
      </c>
      <c r="E60" s="19">
        <f t="shared" si="6"/>
        <v>0</v>
      </c>
      <c r="F60" s="19">
        <f t="shared" si="6"/>
        <v>1</v>
      </c>
      <c r="G60" s="19">
        <f t="shared" si="7"/>
        <v>1.7981023739440178E-6</v>
      </c>
    </row>
    <row r="61" spans="1:7" x14ac:dyDescent="0.25">
      <c r="A61" s="43" t="s">
        <v>91</v>
      </c>
      <c r="B61" s="19">
        <f t="shared" si="6"/>
        <v>0</v>
      </c>
      <c r="C61" s="19">
        <f t="shared" si="6"/>
        <v>0</v>
      </c>
      <c r="D61" s="19">
        <f t="shared" si="6"/>
        <v>0</v>
      </c>
      <c r="E61" s="19">
        <f t="shared" si="6"/>
        <v>1</v>
      </c>
      <c r="F61" s="19">
        <f t="shared" si="6"/>
        <v>1</v>
      </c>
      <c r="G61" s="19">
        <f t="shared" si="7"/>
        <v>2.839109011490554E-7</v>
      </c>
    </row>
    <row r="62" spans="1:7" x14ac:dyDescent="0.25">
      <c r="A62" s="44" t="s">
        <v>33</v>
      </c>
      <c r="B62" s="46">
        <f t="shared" si="6"/>
        <v>0.68719894902736911</v>
      </c>
      <c r="C62" s="46">
        <f t="shared" si="6"/>
        <v>0.21527602078568328</v>
      </c>
      <c r="D62" s="46">
        <f t="shared" si="6"/>
        <v>6.1647094467098366E-2</v>
      </c>
      <c r="E62" s="46">
        <f t="shared" si="6"/>
        <v>3.5877935719849346E-2</v>
      </c>
      <c r="F62" s="46">
        <f t="shared" si="6"/>
        <v>1</v>
      </c>
    </row>
    <row r="65" spans="1:6" ht="15.75" x14ac:dyDescent="0.25">
      <c r="A65" s="111" t="s">
        <v>149</v>
      </c>
    </row>
    <row r="66" spans="1:6" ht="15.75" x14ac:dyDescent="0.25">
      <c r="A66" s="42" t="s">
        <v>101</v>
      </c>
      <c r="B66" s="42" t="s">
        <v>162</v>
      </c>
      <c r="C66" s="42" t="s">
        <v>57</v>
      </c>
      <c r="D66" s="42" t="s">
        <v>58</v>
      </c>
      <c r="E66" s="42" t="s">
        <v>163</v>
      </c>
      <c r="F66" s="129"/>
    </row>
    <row r="67" spans="1:6" ht="15.75" x14ac:dyDescent="0.25">
      <c r="A67" s="122" t="s">
        <v>113</v>
      </c>
      <c r="B67" s="85">
        <v>0.68719894902736911</v>
      </c>
      <c r="C67" s="85">
        <v>0.21527602078568328</v>
      </c>
      <c r="D67" s="85">
        <v>6.1647094467098366E-2</v>
      </c>
      <c r="E67" s="85">
        <v>3.5877935719849346E-2</v>
      </c>
    </row>
    <row r="68" spans="1:6" ht="15.75" x14ac:dyDescent="0.25">
      <c r="A68" s="122" t="s">
        <v>148</v>
      </c>
      <c r="B68" s="19">
        <v>0.62648202711576695</v>
      </c>
      <c r="C68" s="19">
        <v>0.25754156325300476</v>
      </c>
      <c r="D68" s="19">
        <v>7.1873913729591399E-2</v>
      </c>
      <c r="E68" s="19">
        <v>4.4102495901636805E-2</v>
      </c>
    </row>
    <row r="69" spans="1:6" ht="15.75" x14ac:dyDescent="0.25">
      <c r="A69" s="122" t="s">
        <v>114</v>
      </c>
      <c r="B69" s="19">
        <v>0.56813079171515268</v>
      </c>
      <c r="C69" s="19">
        <v>0.26745402548196073</v>
      </c>
      <c r="D69" s="19">
        <v>0.10011406738715753</v>
      </c>
      <c r="E69" s="19">
        <v>6.4301115415729027E-2</v>
      </c>
    </row>
    <row r="70" spans="1:6" ht="15.75" x14ac:dyDescent="0.25">
      <c r="A70" s="122" t="s">
        <v>115</v>
      </c>
      <c r="B70" s="19">
        <v>0.64215213201339538</v>
      </c>
      <c r="C70" s="19">
        <v>0.27807401190588771</v>
      </c>
      <c r="D70" s="19">
        <v>6.2942533843996701E-2</v>
      </c>
      <c r="E70" s="19">
        <v>1.6831322236720202E-2</v>
      </c>
    </row>
    <row r="71" spans="1:6" ht="15.75" x14ac:dyDescent="0.25">
      <c r="A71" s="122" t="s">
        <v>112</v>
      </c>
      <c r="B71" s="19">
        <f>SUM(B67:B70)/4</f>
        <v>0.630990974967921</v>
      </c>
      <c r="C71" s="19">
        <f t="shared" ref="C71:E71" si="8">SUM(C67:C70)/4</f>
        <v>0.25458640535663413</v>
      </c>
      <c r="D71" s="19">
        <f t="shared" si="8"/>
        <v>7.4144402356961001E-2</v>
      </c>
      <c r="E71" s="19">
        <f t="shared" si="8"/>
        <v>4.0278217318483849E-2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opLeftCell="A43" workbookViewId="0">
      <selection activeCell="F1" sqref="F1:G1"/>
    </sheetView>
  </sheetViews>
  <sheetFormatPr baseColWidth="10" defaultRowHeight="15" x14ac:dyDescent="0.25"/>
  <cols>
    <col min="1" max="1" width="27.85546875" customWidth="1"/>
    <col min="8" max="8" width="11.5703125" customWidth="1"/>
    <col min="9" max="9" width="27.85546875" customWidth="1"/>
    <col min="10" max="10" width="11.28515625" customWidth="1"/>
  </cols>
  <sheetData>
    <row r="1" spans="1:15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5" ht="18.75" x14ac:dyDescent="0.3">
      <c r="A3" s="212" t="s">
        <v>86</v>
      </c>
      <c r="B3" s="212"/>
      <c r="C3" s="212"/>
      <c r="D3" s="212"/>
      <c r="E3" s="212"/>
      <c r="F3" s="212"/>
      <c r="G3" s="108"/>
      <c r="H3" s="108"/>
      <c r="I3" s="212" t="s">
        <v>88</v>
      </c>
      <c r="J3" s="212"/>
      <c r="K3" s="212"/>
      <c r="L3" s="212"/>
      <c r="M3" s="212"/>
      <c r="N3" s="212"/>
    </row>
    <row r="4" spans="1:15" ht="15.75" x14ac:dyDescent="0.25">
      <c r="A4" s="125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183</v>
      </c>
      <c r="I4" s="125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183</v>
      </c>
    </row>
    <row r="5" spans="1:15" x14ac:dyDescent="0.25">
      <c r="A5" s="43" t="s">
        <v>4</v>
      </c>
      <c r="B5" s="10">
        <f>'CLE-PEND'!B5+'MAN-PEND'!B5+'MH-PEND'!B5+'SAT-PEND'!B5</f>
        <v>484</v>
      </c>
      <c r="C5" s="10">
        <f>'CLE-PEND'!C5+'MAN-PEND'!C5+'MH-PEND'!C5+'SAT-PEND'!C5</f>
        <v>374.95</v>
      </c>
      <c r="D5" s="10">
        <f>'CLE-PEND'!D5+'MAN-PEND'!D5+'MH-PEND'!D5+'SAT-PEND'!D5</f>
        <v>159.66</v>
      </c>
      <c r="E5" s="10">
        <f>'CLE-PEND'!E5+'MAN-PEND'!E5+'MH-PEND'!E5+'SAT-PEND'!E5</f>
        <v>139.64999999999998</v>
      </c>
      <c r="F5" s="10">
        <f>'CLE-PEND'!F5+'MAN-PEND'!F5+'MH-PEND'!F5+'SAT-PEND'!F5</f>
        <v>1158.26</v>
      </c>
      <c r="I5" s="43" t="s">
        <v>4</v>
      </c>
      <c r="J5" s="10">
        <f>'CLE-PEND'!J5+'MAN-PEND'!J5+'MH-PEND'!J5+'SAT-PEND'!J5</f>
        <v>6757.3499999999995</v>
      </c>
      <c r="K5" s="10">
        <f>'CLE-PEND'!K5+'MAN-PEND'!K5+'MH-PEND'!K5+'SAT-PEND'!K5</f>
        <v>5365.92</v>
      </c>
      <c r="L5" s="10">
        <f>'CLE-PEND'!L5+'MAN-PEND'!L5+'MH-PEND'!L5+'SAT-PEND'!L5</f>
        <v>952.79499999999996</v>
      </c>
      <c r="M5" s="10">
        <f>'CLE-PEND'!M5+'MAN-PEND'!M5+'MH-PEND'!M5+'SAT-PEND'!M5</f>
        <v>707.9319999999999</v>
      </c>
      <c r="N5" s="10">
        <f>'CLE-PEND'!N5+'MAN-PEND'!N5+'MH-PEND'!N5+'SAT-PEND'!N5</f>
        <v>13783.997000000003</v>
      </c>
      <c r="O5" s="131"/>
    </row>
    <row r="6" spans="1:15" x14ac:dyDescent="0.25">
      <c r="A6" s="43" t="s">
        <v>43</v>
      </c>
      <c r="B6" s="10">
        <f>'CLE-PEND'!B6+'MAN-PEND'!B6+'MH-PEND'!B6+'SAT-PEND'!B6</f>
        <v>0.99</v>
      </c>
      <c r="C6" s="10">
        <f>'CLE-PEND'!C6+'MAN-PEND'!C6+'MH-PEND'!C6+'SAT-PEND'!C6</f>
        <v>0</v>
      </c>
      <c r="D6" s="10">
        <f>'CLE-PEND'!D6+'MAN-PEND'!D6+'MH-PEND'!D6+'SAT-PEND'!D6</f>
        <v>0.03</v>
      </c>
      <c r="E6" s="10">
        <f>'CLE-PEND'!E6+'MAN-PEND'!E6+'MH-PEND'!E6+'SAT-PEND'!E6</f>
        <v>0</v>
      </c>
      <c r="F6" s="10">
        <f>'CLE-PEND'!F6+'MAN-PEND'!F6+'MH-PEND'!F6+'SAT-PEND'!F6</f>
        <v>1.02</v>
      </c>
      <c r="I6" s="43" t="s">
        <v>43</v>
      </c>
      <c r="J6" s="10">
        <f>'CLE-PEND'!J6+'MAN-PEND'!J6+'MH-PEND'!J6+'SAT-PEND'!J6</f>
        <v>49.43</v>
      </c>
      <c r="K6" s="10">
        <f>'CLE-PEND'!K6+'MAN-PEND'!K6+'MH-PEND'!K6+'SAT-PEND'!K6</f>
        <v>3.47</v>
      </c>
      <c r="L6" s="10">
        <f>'CLE-PEND'!L6+'MAN-PEND'!L6+'MH-PEND'!L6+'SAT-PEND'!L6</f>
        <v>4.92</v>
      </c>
      <c r="M6" s="10">
        <f>'CLE-PEND'!M6+'MAN-PEND'!M6+'MH-PEND'!M6+'SAT-PEND'!M6</f>
        <v>0.72000000000000008</v>
      </c>
      <c r="N6" s="10">
        <f>'CLE-PEND'!N6+'MAN-PEND'!N6+'MH-PEND'!N6+'SAT-PEND'!N6</f>
        <v>58.54</v>
      </c>
    </row>
    <row r="7" spans="1:15" x14ac:dyDescent="0.25">
      <c r="A7" s="43" t="s">
        <v>13</v>
      </c>
      <c r="B7" s="10">
        <f>'CLE-PEND'!B7+'MAN-PEND'!B7+'MH-PEND'!B7+'SAT-PEND'!B7</f>
        <v>0</v>
      </c>
      <c r="C7" s="10">
        <f>'CLE-PEND'!C7+'MAN-PEND'!C7+'MH-PEND'!C7+'SAT-PEND'!C7</f>
        <v>0</v>
      </c>
      <c r="D7" s="10">
        <f>'CLE-PEND'!D7+'MAN-PEND'!D7+'MH-PEND'!D7+'SAT-PEND'!D7</f>
        <v>0</v>
      </c>
      <c r="E7" s="10">
        <f>'CLE-PEND'!E7+'MAN-PEND'!E7+'MH-PEND'!E7+'SAT-PEND'!E7</f>
        <v>0</v>
      </c>
      <c r="F7" s="10">
        <f>'CLE-PEND'!F7+'MAN-PEND'!F7+'MH-PEND'!F7+'SAT-PEND'!F7</f>
        <v>0</v>
      </c>
      <c r="I7" s="43" t="s">
        <v>13</v>
      </c>
      <c r="J7" s="10">
        <f>'CLE-PEND'!J7+'MAN-PEND'!J7+'MH-PEND'!J7+'SAT-PEND'!J7</f>
        <v>0</v>
      </c>
      <c r="K7" s="10">
        <f>'CLE-PEND'!K7+'MAN-PEND'!K7+'MH-PEND'!K7+'SAT-PEND'!K7</f>
        <v>0</v>
      </c>
      <c r="L7" s="10">
        <f>'CLE-PEND'!L7+'MAN-PEND'!L7+'MH-PEND'!L7+'SAT-PEND'!L7</f>
        <v>0</v>
      </c>
      <c r="M7" s="10">
        <f>'CLE-PEND'!M7+'MAN-PEND'!M7+'MH-PEND'!M7+'SAT-PEND'!M7</f>
        <v>0</v>
      </c>
      <c r="N7" s="10">
        <f>'CLE-PEND'!N7+'MAN-PEND'!N7+'MH-PEND'!N7+'SAT-PEND'!N7</f>
        <v>0</v>
      </c>
    </row>
    <row r="8" spans="1:15" x14ac:dyDescent="0.25">
      <c r="A8" s="43" t="s">
        <v>14</v>
      </c>
      <c r="B8" s="10">
        <f>'CLE-PEND'!B8+'MAN-PEND'!B8+'MH-PEND'!B8+'SAT-PEND'!B8</f>
        <v>91.323333333333295</v>
      </c>
      <c r="C8" s="10">
        <f>'CLE-PEND'!C8+'MAN-PEND'!C8+'MH-PEND'!C8+'SAT-PEND'!C8</f>
        <v>53.5</v>
      </c>
      <c r="D8" s="10">
        <f>'CLE-PEND'!D8+'MAN-PEND'!D8+'MH-PEND'!D8+'SAT-PEND'!D8</f>
        <v>18.28</v>
      </c>
      <c r="E8" s="10">
        <f>'CLE-PEND'!E8+'MAN-PEND'!E8+'MH-PEND'!E8+'SAT-PEND'!E8</f>
        <v>17.600000000000001</v>
      </c>
      <c r="F8" s="10">
        <f>'CLE-PEND'!F8+'MAN-PEND'!F8+'MH-PEND'!F8+'SAT-PEND'!F8</f>
        <v>180.70333333333326</v>
      </c>
      <c r="I8" s="43" t="s">
        <v>14</v>
      </c>
      <c r="J8" s="10">
        <f>'CLE-PEND'!J8+'MAN-PEND'!J8+'MH-PEND'!J8+'SAT-PEND'!J8</f>
        <v>32823.357500000289</v>
      </c>
      <c r="K8" s="10">
        <f>'CLE-PEND'!K8+'MAN-PEND'!K8+'MH-PEND'!K8+'SAT-PEND'!K8</f>
        <v>11868.250000000013</v>
      </c>
      <c r="L8" s="10">
        <f>'CLE-PEND'!L8+'MAN-PEND'!L8+'MH-PEND'!L8+'SAT-PEND'!L8</f>
        <v>3809.0316666666499</v>
      </c>
      <c r="M8" s="10">
        <f>'CLE-PEND'!M8+'MAN-PEND'!M8+'MH-PEND'!M8+'SAT-PEND'!M8</f>
        <v>2239.9716666666582</v>
      </c>
      <c r="N8" s="10">
        <f>'CLE-PEND'!N8+'MAN-PEND'!N8+'MH-PEND'!N8+'SAT-PEND'!N8</f>
        <v>50740.610833333609</v>
      </c>
    </row>
    <row r="9" spans="1:15" x14ac:dyDescent="0.25">
      <c r="A9" s="43" t="s">
        <v>36</v>
      </c>
      <c r="B9" s="10">
        <f>'CLE-PEND'!B9+'MAN-PEND'!B9+'MH-PEND'!B9+'SAT-PEND'!B9</f>
        <v>0</v>
      </c>
      <c r="C9" s="10">
        <f>'CLE-PEND'!C9+'MAN-PEND'!C9+'MH-PEND'!C9+'SAT-PEND'!C9</f>
        <v>0</v>
      </c>
      <c r="D9" s="10">
        <f>'CLE-PEND'!D9+'MAN-PEND'!D9+'MH-PEND'!D9+'SAT-PEND'!D9</f>
        <v>0</v>
      </c>
      <c r="E9" s="10">
        <f>'CLE-PEND'!E9+'MAN-PEND'!E9+'MH-PEND'!E9+'SAT-PEND'!E9</f>
        <v>0</v>
      </c>
      <c r="F9" s="10">
        <f>'CLE-PEND'!F9+'MAN-PEND'!F9+'MH-PEND'!F9+'SAT-PEND'!F9</f>
        <v>0</v>
      </c>
      <c r="I9" s="43" t="s">
        <v>36</v>
      </c>
      <c r="J9" s="10">
        <f>'CLE-PEND'!J9+'MAN-PEND'!J9+'MH-PEND'!J9+'SAT-PEND'!J9</f>
        <v>0</v>
      </c>
      <c r="K9" s="10">
        <f>'CLE-PEND'!K9+'MAN-PEND'!K9+'MH-PEND'!K9+'SAT-PEND'!K9</f>
        <v>0</v>
      </c>
      <c r="L9" s="10">
        <f>'CLE-PEND'!L9+'MAN-PEND'!L9+'MH-PEND'!L9+'SAT-PEND'!L9</f>
        <v>0</v>
      </c>
      <c r="M9" s="10">
        <f>'CLE-PEND'!M9+'MAN-PEND'!M9+'MH-PEND'!M9+'SAT-PEND'!M9</f>
        <v>0</v>
      </c>
      <c r="N9" s="10">
        <f>'CLE-PEND'!N9+'MAN-PEND'!N9+'MH-PEND'!N9+'SAT-PEND'!N9</f>
        <v>0</v>
      </c>
    </row>
    <row r="10" spans="1:15" x14ac:dyDescent="0.25">
      <c r="A10" s="43" t="s">
        <v>39</v>
      </c>
      <c r="B10" s="10">
        <f>'CLE-PEND'!B10+'MAN-PEND'!B10+'MH-PEND'!B10+'SAT-PEND'!B10</f>
        <v>0.67</v>
      </c>
      <c r="C10" s="10">
        <f>'CLE-PEND'!C10+'MAN-PEND'!C10+'MH-PEND'!C10+'SAT-PEND'!C10</f>
        <v>0.02</v>
      </c>
      <c r="D10" s="10">
        <f>'CLE-PEND'!D10+'MAN-PEND'!D10+'MH-PEND'!D10+'SAT-PEND'!D10</f>
        <v>0.03</v>
      </c>
      <c r="E10" s="10">
        <f>'CLE-PEND'!E10+'MAN-PEND'!E10+'MH-PEND'!E10+'SAT-PEND'!E10</f>
        <v>0</v>
      </c>
      <c r="F10" s="10">
        <f>'CLE-PEND'!F10+'MAN-PEND'!F10+'MH-PEND'!F10+'SAT-PEND'!F10</f>
        <v>0.72000000000000008</v>
      </c>
      <c r="I10" s="43" t="s">
        <v>39</v>
      </c>
      <c r="J10" s="10">
        <f>'CLE-PEND'!J10+'MAN-PEND'!J10+'MH-PEND'!J10+'SAT-PEND'!J10</f>
        <v>150.31</v>
      </c>
      <c r="K10" s="10">
        <f>'CLE-PEND'!K10+'MAN-PEND'!K10+'MH-PEND'!K10+'SAT-PEND'!K10</f>
        <v>162.49999999999997</v>
      </c>
      <c r="L10" s="10">
        <f>'CLE-PEND'!L10+'MAN-PEND'!L10+'MH-PEND'!L10+'SAT-PEND'!L10</f>
        <v>9.41</v>
      </c>
      <c r="M10" s="10">
        <f>'CLE-PEND'!M10+'MAN-PEND'!M10+'MH-PEND'!M10+'SAT-PEND'!M10</f>
        <v>3.7199999999999998</v>
      </c>
      <c r="N10" s="10">
        <f>'CLE-PEND'!N10+'MAN-PEND'!N10+'MH-PEND'!N10+'SAT-PEND'!N10</f>
        <v>325.94</v>
      </c>
    </row>
    <row r="11" spans="1:15" x14ac:dyDescent="0.25">
      <c r="A11" s="43" t="s">
        <v>18</v>
      </c>
      <c r="B11" s="10">
        <f>'CLE-PEND'!B11+'MAN-PEND'!B11+'MH-PEND'!B11+'SAT-PEND'!B11</f>
        <v>0</v>
      </c>
      <c r="C11" s="10">
        <f>'CLE-PEND'!C11+'MAN-PEND'!C11+'MH-PEND'!C11+'SAT-PEND'!C11</f>
        <v>0</v>
      </c>
      <c r="D11" s="10">
        <f>'CLE-PEND'!D11+'MAN-PEND'!D11+'MH-PEND'!D11+'SAT-PEND'!D11</f>
        <v>0</v>
      </c>
      <c r="E11" s="10">
        <f>'CLE-PEND'!E11+'MAN-PEND'!E11+'MH-PEND'!E11+'SAT-PEND'!E11</f>
        <v>0</v>
      </c>
      <c r="F11" s="10">
        <f>'CLE-PEND'!F11+'MAN-PEND'!F11+'MH-PEND'!F11+'SAT-PEND'!F11</f>
        <v>0</v>
      </c>
      <c r="I11" s="43" t="s">
        <v>18</v>
      </c>
      <c r="J11" s="10">
        <f>'CLE-PEND'!J11+'MAN-PEND'!J11+'MH-PEND'!J11+'SAT-PEND'!J11</f>
        <v>0</v>
      </c>
      <c r="K11" s="10">
        <f>'CLE-PEND'!K11+'MAN-PEND'!K11+'MH-PEND'!K11+'SAT-PEND'!K11</f>
        <v>0</v>
      </c>
      <c r="L11" s="10">
        <f>'CLE-PEND'!L11+'MAN-PEND'!L11+'MH-PEND'!L11+'SAT-PEND'!L11</f>
        <v>0</v>
      </c>
      <c r="M11" s="10">
        <f>'CLE-PEND'!M11+'MAN-PEND'!M11+'MH-PEND'!M11+'SAT-PEND'!M11</f>
        <v>0</v>
      </c>
      <c r="N11" s="10">
        <f>'CLE-PEND'!N11+'MAN-PEND'!N11+'MH-PEND'!N11+'SAT-PEND'!N11</f>
        <v>0</v>
      </c>
    </row>
    <row r="12" spans="1:15" x14ac:dyDescent="0.25">
      <c r="A12" s="43" t="s">
        <v>19</v>
      </c>
      <c r="B12" s="10">
        <f>'CLE-PEND'!B12+'MAN-PEND'!B12+'MH-PEND'!B12+'SAT-PEND'!B12</f>
        <v>0.71</v>
      </c>
      <c r="C12" s="10">
        <f>'CLE-PEND'!C12+'MAN-PEND'!C12+'MH-PEND'!C12+'SAT-PEND'!C12</f>
        <v>0.245</v>
      </c>
      <c r="D12" s="10">
        <f>'CLE-PEND'!D12+'MAN-PEND'!D12+'MH-PEND'!D12+'SAT-PEND'!D12</f>
        <v>0.32</v>
      </c>
      <c r="E12" s="10">
        <f>'CLE-PEND'!E12+'MAN-PEND'!E12+'MH-PEND'!E12+'SAT-PEND'!E12</f>
        <v>0.16</v>
      </c>
      <c r="F12" s="10">
        <f>'CLE-PEND'!F12+'MAN-PEND'!F12+'MH-PEND'!F12+'SAT-PEND'!F12</f>
        <v>1.4349999999999998</v>
      </c>
      <c r="I12" s="43" t="s">
        <v>19</v>
      </c>
      <c r="J12" s="10">
        <f>'CLE-PEND'!J12+'MAN-PEND'!J12+'MH-PEND'!J12+'SAT-PEND'!J12</f>
        <v>4775.380000000021</v>
      </c>
      <c r="K12" s="10">
        <f>'CLE-PEND'!K12+'MAN-PEND'!K12+'MH-PEND'!K12+'SAT-PEND'!K12</f>
        <v>689.53333333333296</v>
      </c>
      <c r="L12" s="10">
        <f>'CLE-PEND'!L12+'MAN-PEND'!L12+'MH-PEND'!L12+'SAT-PEND'!L12</f>
        <v>283.5</v>
      </c>
      <c r="M12" s="10">
        <f>'CLE-PEND'!M12+'MAN-PEND'!M12+'MH-PEND'!M12+'SAT-PEND'!M12</f>
        <v>188.24</v>
      </c>
      <c r="N12" s="10">
        <f>'CLE-PEND'!N12+'MAN-PEND'!N12+'MH-PEND'!N12+'SAT-PEND'!N12</f>
        <v>5936.6533333333546</v>
      </c>
    </row>
    <row r="13" spans="1:15" x14ac:dyDescent="0.25">
      <c r="A13" s="43" t="s">
        <v>23</v>
      </c>
      <c r="B13" s="10">
        <f>'CLE-PEND'!B13+'MAN-PEND'!B13+'MH-PEND'!B13+'SAT-PEND'!B13</f>
        <v>6.9799999999999995</v>
      </c>
      <c r="C13" s="10">
        <f>'CLE-PEND'!C13+'MAN-PEND'!C13+'MH-PEND'!C13+'SAT-PEND'!C13</f>
        <v>0.09</v>
      </c>
      <c r="D13" s="10">
        <f>'CLE-PEND'!D13+'MAN-PEND'!D13+'MH-PEND'!D13+'SAT-PEND'!D13</f>
        <v>0</v>
      </c>
      <c r="E13" s="10">
        <f>'CLE-PEND'!E13+'MAN-PEND'!E13+'MH-PEND'!E13+'SAT-PEND'!E13</f>
        <v>0.13</v>
      </c>
      <c r="F13" s="10">
        <f>'CLE-PEND'!F13+'MAN-PEND'!F13+'MH-PEND'!F13+'SAT-PEND'!F13</f>
        <v>7.1999999999999993</v>
      </c>
      <c r="I13" s="43" t="s">
        <v>23</v>
      </c>
      <c r="J13" s="10">
        <f>'CLE-PEND'!J13+'MAN-PEND'!J13+'MH-PEND'!J13+'SAT-PEND'!J13</f>
        <v>1.3800000000000001</v>
      </c>
      <c r="K13" s="10">
        <f>'CLE-PEND'!K13+'MAN-PEND'!K13+'MH-PEND'!K13+'SAT-PEND'!K13</f>
        <v>0</v>
      </c>
      <c r="L13" s="10">
        <f>'CLE-PEND'!L13+'MAN-PEND'!L13+'MH-PEND'!L13+'SAT-PEND'!L13</f>
        <v>0</v>
      </c>
      <c r="M13" s="10">
        <f>'CLE-PEND'!M13+'MAN-PEND'!M13+'MH-PEND'!M13+'SAT-PEND'!M13</f>
        <v>7.0000000000000007E-2</v>
      </c>
      <c r="N13" s="10">
        <f>'CLE-PEND'!N13+'MAN-PEND'!N13+'MH-PEND'!N13+'SAT-PEND'!N13</f>
        <v>1.4500000000000002</v>
      </c>
    </row>
    <row r="14" spans="1:15" x14ac:dyDescent="0.25">
      <c r="A14" s="43" t="s">
        <v>26</v>
      </c>
      <c r="B14" s="10">
        <f>'CLE-PEND'!B14+'MAN-PEND'!B14+'MH-PEND'!B14+'SAT-PEND'!B14</f>
        <v>0</v>
      </c>
      <c r="C14" s="10">
        <f>'CLE-PEND'!C14+'MAN-PEND'!C14+'MH-PEND'!C14+'SAT-PEND'!C14</f>
        <v>0</v>
      </c>
      <c r="D14" s="10">
        <f>'CLE-PEND'!D14+'MAN-PEND'!D14+'MH-PEND'!D14+'SAT-PEND'!D14</f>
        <v>0</v>
      </c>
      <c r="E14" s="10">
        <f>'CLE-PEND'!E14+'MAN-PEND'!E14+'MH-PEND'!E14+'SAT-PEND'!E14</f>
        <v>0</v>
      </c>
      <c r="F14" s="10">
        <f>'CLE-PEND'!F14+'MAN-PEND'!F14+'MH-PEND'!F14+'SAT-PEND'!F14</f>
        <v>0</v>
      </c>
      <c r="I14" s="43" t="s">
        <v>26</v>
      </c>
      <c r="J14" s="10">
        <f>'CLE-PEND'!J14+'MAN-PEND'!J14+'MH-PEND'!J14+'SAT-PEND'!J14</f>
        <v>0</v>
      </c>
      <c r="K14" s="10">
        <f>'CLE-PEND'!K14+'MAN-PEND'!K14+'MH-PEND'!K14+'SAT-PEND'!K14</f>
        <v>0</v>
      </c>
      <c r="L14" s="10">
        <f>'CLE-PEND'!L14+'MAN-PEND'!L14+'MH-PEND'!L14+'SAT-PEND'!L14</f>
        <v>0</v>
      </c>
      <c r="M14" s="10">
        <f>'CLE-PEND'!M14+'MAN-PEND'!M14+'MH-PEND'!M14+'SAT-PEND'!M14</f>
        <v>0</v>
      </c>
      <c r="N14" s="10">
        <f>'CLE-PEND'!N14+'MAN-PEND'!N14+'MH-PEND'!N14+'SAT-PEND'!N14</f>
        <v>0</v>
      </c>
    </row>
    <row r="15" spans="1:15" x14ac:dyDescent="0.25">
      <c r="A15" s="43" t="s">
        <v>160</v>
      </c>
      <c r="B15" s="10">
        <f>'CLE-PEND'!B15+'MAN-PEND'!B15+'MH-PEND'!B15+'SAT-PEND'!B15</f>
        <v>4.5999999999999996</v>
      </c>
      <c r="C15" s="10">
        <f>'CLE-PEND'!C15+'MAN-PEND'!C15+'MH-PEND'!C15+'SAT-PEND'!C15</f>
        <v>0.14000000000000001</v>
      </c>
      <c r="D15" s="10">
        <f>'CLE-PEND'!D15+'MAN-PEND'!D15+'MH-PEND'!D15+'SAT-PEND'!D15</f>
        <v>0</v>
      </c>
      <c r="E15" s="10">
        <f>'CLE-PEND'!E15+'MAN-PEND'!E15+'MH-PEND'!E15+'SAT-PEND'!E15</f>
        <v>0.11</v>
      </c>
      <c r="F15" s="10">
        <f>'CLE-PEND'!F15+'MAN-PEND'!F15+'MH-PEND'!F15+'SAT-PEND'!F15</f>
        <v>4.8499999999999996</v>
      </c>
      <c r="I15" s="43" t="s">
        <v>160</v>
      </c>
      <c r="J15" s="10">
        <f>'CLE-PEND'!J15+'MAN-PEND'!J15+'MH-PEND'!J15+'SAT-PEND'!J15</f>
        <v>25.555</v>
      </c>
      <c r="K15" s="10">
        <f>'CLE-PEND'!K15+'MAN-PEND'!K15+'MH-PEND'!K15+'SAT-PEND'!K15</f>
        <v>2.0699999999999998</v>
      </c>
      <c r="L15" s="10">
        <f>'CLE-PEND'!L15+'MAN-PEND'!L15+'MH-PEND'!L15+'SAT-PEND'!L15</f>
        <v>0.43000000000000005</v>
      </c>
      <c r="M15" s="10">
        <f>'CLE-PEND'!M15+'MAN-PEND'!M15+'MH-PEND'!M15+'SAT-PEND'!M15</f>
        <v>0.39999999999999997</v>
      </c>
      <c r="N15" s="10">
        <f>'CLE-PEND'!N15+'MAN-PEND'!N15+'MH-PEND'!N15+'SAT-PEND'!N15</f>
        <v>28.455000000000002</v>
      </c>
    </row>
    <row r="16" spans="1:15" x14ac:dyDescent="0.25">
      <c r="A16" s="43" t="s">
        <v>161</v>
      </c>
      <c r="B16" s="10">
        <f>'CLE-PEND'!B16+'MAN-PEND'!B16+'MH-PEND'!B16+'SAT-PEND'!B16</f>
        <v>0</v>
      </c>
      <c r="C16" s="10">
        <f>'CLE-PEND'!C16+'MAN-PEND'!C16+'MH-PEND'!C16+'SAT-PEND'!C16</f>
        <v>0</v>
      </c>
      <c r="D16" s="10">
        <f>'CLE-PEND'!D16+'MAN-PEND'!D16+'MH-PEND'!D16+'SAT-PEND'!D16</f>
        <v>0</v>
      </c>
      <c r="E16" s="10">
        <f>'CLE-PEND'!E16+'MAN-PEND'!E16+'MH-PEND'!E16+'SAT-PEND'!E16</f>
        <v>0</v>
      </c>
      <c r="F16" s="10">
        <f>'CLE-PEND'!F16+'MAN-PEND'!F16+'MH-PEND'!F16+'SAT-PEND'!F16</f>
        <v>0</v>
      </c>
      <c r="I16" s="43" t="s">
        <v>161</v>
      </c>
      <c r="J16" s="10">
        <f>'CLE-PEND'!J16+'MAN-PEND'!J16+'MH-PEND'!J16+'SAT-PEND'!J16</f>
        <v>0</v>
      </c>
      <c r="K16" s="10">
        <f>'CLE-PEND'!K16+'MAN-PEND'!K16+'MH-PEND'!K16+'SAT-PEND'!K16</f>
        <v>0</v>
      </c>
      <c r="L16" s="10">
        <f>'CLE-PEND'!L16+'MAN-PEND'!L16+'MH-PEND'!L16+'SAT-PEND'!L16</f>
        <v>0</v>
      </c>
      <c r="M16" s="10">
        <f>'CLE-PEND'!M16+'MAN-PEND'!M16+'MH-PEND'!M16+'SAT-PEND'!M16</f>
        <v>0</v>
      </c>
      <c r="N16" s="10">
        <f>'CLE-PEND'!N16+'MAN-PEND'!N16+'MH-PEND'!N16+'SAT-PEND'!N16</f>
        <v>0</v>
      </c>
    </row>
    <row r="17" spans="1:14" x14ac:dyDescent="0.25">
      <c r="A17" s="43" t="s">
        <v>89</v>
      </c>
      <c r="B17" s="10">
        <f>'CLE-PEND'!B17+'MAN-PEND'!B17+'MH-PEND'!B17+'SAT-PEND'!B17</f>
        <v>6.77</v>
      </c>
      <c r="C17" s="10">
        <f>'CLE-PEND'!C17+'MAN-PEND'!C17+'MH-PEND'!C17+'SAT-PEND'!C17</f>
        <v>0</v>
      </c>
      <c r="D17" s="10">
        <f>'CLE-PEND'!D17+'MAN-PEND'!D17+'MH-PEND'!D17+'SAT-PEND'!D17</f>
        <v>0</v>
      </c>
      <c r="E17" s="10">
        <f>'CLE-PEND'!E17+'MAN-PEND'!E17+'MH-PEND'!E17+'SAT-PEND'!E17</f>
        <v>0</v>
      </c>
      <c r="F17" s="10">
        <f>'CLE-PEND'!F17+'MAN-PEND'!F17+'MH-PEND'!F17+'SAT-PEND'!F17</f>
        <v>6.77</v>
      </c>
      <c r="I17" s="43" t="s">
        <v>89</v>
      </c>
      <c r="J17" s="10">
        <f>'CLE-PEND'!J17+'MAN-PEND'!J17+'MH-PEND'!J17+'SAT-PEND'!J17</f>
        <v>83.18</v>
      </c>
      <c r="K17" s="10">
        <f>'CLE-PEND'!K17+'MAN-PEND'!K17+'MH-PEND'!K17+'SAT-PEND'!K17</f>
        <v>0</v>
      </c>
      <c r="L17" s="10">
        <f>'CLE-PEND'!L17+'MAN-PEND'!L17+'MH-PEND'!L17+'SAT-PEND'!L17</f>
        <v>0</v>
      </c>
      <c r="M17" s="10">
        <f>'CLE-PEND'!M17+'MAN-PEND'!M17+'MH-PEND'!M17+'SAT-PEND'!M17</f>
        <v>0</v>
      </c>
      <c r="N17" s="10">
        <f>'CLE-PEND'!N17+'MAN-PEND'!N17+'MH-PEND'!N17+'SAT-PEND'!N17</f>
        <v>83.18</v>
      </c>
    </row>
    <row r="18" spans="1:14" x14ac:dyDescent="0.25">
      <c r="A18" s="43" t="s">
        <v>32</v>
      </c>
      <c r="B18" s="10">
        <f>'CLE-PEND'!B18+'MAN-PEND'!B18+'MH-PEND'!B18+'SAT-PEND'!B18</f>
        <v>191.59833333333302</v>
      </c>
      <c r="C18" s="10">
        <f>'CLE-PEND'!C18+'MAN-PEND'!C18+'MH-PEND'!C18+'SAT-PEND'!C18</f>
        <v>91.289999999999992</v>
      </c>
      <c r="D18" s="10">
        <f>'CLE-PEND'!D18+'MAN-PEND'!D18+'MH-PEND'!D18+'SAT-PEND'!D18</f>
        <v>17.325000000000003</v>
      </c>
      <c r="E18" s="10">
        <f>'CLE-PEND'!E18+'MAN-PEND'!E18+'MH-PEND'!E18+'SAT-PEND'!E18</f>
        <v>27.72</v>
      </c>
      <c r="F18" s="10">
        <f>'CLE-PEND'!F18+'MAN-PEND'!F18+'MH-PEND'!F18+'SAT-PEND'!F18</f>
        <v>327.933333333333</v>
      </c>
      <c r="I18" s="43" t="s">
        <v>32</v>
      </c>
      <c r="J18" s="10">
        <f>'CLE-PEND'!J18+'MAN-PEND'!J18+'MH-PEND'!J18+'SAT-PEND'!J18</f>
        <v>3316.57</v>
      </c>
      <c r="K18" s="10">
        <f>'CLE-PEND'!K18+'MAN-PEND'!K18+'MH-PEND'!K18+'SAT-PEND'!K18</f>
        <v>1438.1249999999989</v>
      </c>
      <c r="L18" s="10">
        <f>'CLE-PEND'!L18+'MAN-PEND'!L18+'MH-PEND'!L18+'SAT-PEND'!L18</f>
        <v>339.78999999999996</v>
      </c>
      <c r="M18" s="10">
        <f>'CLE-PEND'!M18+'MAN-PEND'!M18+'MH-PEND'!M18+'SAT-PEND'!M18</f>
        <v>107.03999999999999</v>
      </c>
      <c r="N18" s="10">
        <f>'CLE-PEND'!N18+'MAN-PEND'!N18+'MH-PEND'!N18+'SAT-PEND'!N18</f>
        <v>5201.5249999999978</v>
      </c>
    </row>
    <row r="19" spans="1:14" x14ac:dyDescent="0.25">
      <c r="A19" s="43" t="s">
        <v>90</v>
      </c>
      <c r="B19" s="10">
        <f>'CLE-PEND'!B19+'MAN-PEND'!B19+'MH-PEND'!B19+'SAT-PEND'!B19</f>
        <v>0</v>
      </c>
      <c r="C19" s="10">
        <f>'CLE-PEND'!C19+'MAN-PEND'!C19+'MH-PEND'!C19+'SAT-PEND'!C19</f>
        <v>0</v>
      </c>
      <c r="D19" s="10">
        <f>'CLE-PEND'!D19+'MAN-PEND'!D19+'MH-PEND'!D19+'SAT-PEND'!D19</f>
        <v>0</v>
      </c>
      <c r="E19" s="10">
        <f>'CLE-PEND'!E19+'MAN-PEND'!E19+'MH-PEND'!E19+'SAT-PEND'!E19</f>
        <v>0</v>
      </c>
      <c r="F19" s="10">
        <f>'CLE-PEND'!F19+'MAN-PEND'!F19+'MH-PEND'!F19+'SAT-PEND'!F19</f>
        <v>0</v>
      </c>
      <c r="I19" s="43" t="s">
        <v>90</v>
      </c>
      <c r="J19" s="10">
        <f>'CLE-PEND'!J19+'MAN-PEND'!J19+'MH-PEND'!J19+'SAT-PEND'!J19</f>
        <v>2.67</v>
      </c>
      <c r="K19" s="10">
        <f>'CLE-PEND'!K19+'MAN-PEND'!K19+'MH-PEND'!K19+'SAT-PEND'!K19</f>
        <v>0</v>
      </c>
      <c r="L19" s="10">
        <f>'CLE-PEND'!L19+'MAN-PEND'!L19+'MH-PEND'!L19+'SAT-PEND'!L19</f>
        <v>0</v>
      </c>
      <c r="M19" s="10">
        <f>'CLE-PEND'!M19+'MAN-PEND'!M19+'MH-PEND'!M19+'SAT-PEND'!M19</f>
        <v>0</v>
      </c>
      <c r="N19" s="10">
        <f>'CLE-PEND'!N19+'MAN-PEND'!N19+'MH-PEND'!N19+'SAT-PEND'!N19</f>
        <v>2.67</v>
      </c>
    </row>
    <row r="20" spans="1:14" x14ac:dyDescent="0.25">
      <c r="A20" s="43" t="s">
        <v>91</v>
      </c>
      <c r="B20" s="10">
        <f>'CLE-PEND'!B20+'MAN-PEND'!B20+'MH-PEND'!B20+'SAT-PEND'!B20</f>
        <v>0</v>
      </c>
      <c r="C20" s="10">
        <f>'CLE-PEND'!C20+'MAN-PEND'!C20+'MH-PEND'!C20+'SAT-PEND'!C20</f>
        <v>0</v>
      </c>
      <c r="D20" s="10">
        <f>'CLE-PEND'!D20+'MAN-PEND'!D20+'MH-PEND'!D20+'SAT-PEND'!D20</f>
        <v>0</v>
      </c>
      <c r="E20" s="10">
        <f>'CLE-PEND'!E20+'MAN-PEND'!E20+'MH-PEND'!E20+'SAT-PEND'!E20</f>
        <v>0</v>
      </c>
      <c r="F20" s="10">
        <f>'CLE-PEND'!F20+'MAN-PEND'!F20+'MH-PEND'!F20+'SAT-PEND'!F20</f>
        <v>0</v>
      </c>
      <c r="I20" s="43" t="s">
        <v>91</v>
      </c>
      <c r="J20" s="10">
        <f>'CLE-PEND'!J20+'MAN-PEND'!J20+'MH-PEND'!J20+'SAT-PEND'!J20</f>
        <v>0</v>
      </c>
      <c r="K20" s="10">
        <f>'CLE-PEND'!K20+'MAN-PEND'!K20+'MH-PEND'!K20+'SAT-PEND'!K20</f>
        <v>0</v>
      </c>
      <c r="L20" s="10">
        <f>'CLE-PEND'!L20+'MAN-PEND'!L20+'MH-PEND'!L20+'SAT-PEND'!L20</f>
        <v>0</v>
      </c>
      <c r="M20" s="10">
        <f>'CLE-PEND'!M20+'MAN-PEND'!M20+'MH-PEND'!M20+'SAT-PEND'!M20</f>
        <v>0</v>
      </c>
      <c r="N20" s="10">
        <f>'CLE-PEND'!N20+'MAN-PEND'!N20+'MH-PEND'!N20+'SAT-PEND'!N20</f>
        <v>0</v>
      </c>
    </row>
    <row r="21" spans="1:14" x14ac:dyDescent="0.25">
      <c r="A21" s="44" t="s">
        <v>33</v>
      </c>
      <c r="B21" s="45">
        <f>'CLE-PEND'!B21+'MAN-PEND'!B21+'MH-PEND'!B21+'SAT-PEND'!B21</f>
        <v>787.64166666666597</v>
      </c>
      <c r="C21" s="45">
        <f>'CLE-PEND'!C21+'MAN-PEND'!C21+'MH-PEND'!C21+'SAT-PEND'!C21</f>
        <v>520.23500000000001</v>
      </c>
      <c r="D21" s="45">
        <f>'CLE-PEND'!D21+'MAN-PEND'!D21+'MH-PEND'!D21+'SAT-PEND'!D21</f>
        <v>195.64500000000001</v>
      </c>
      <c r="E21" s="45">
        <f>'CLE-PEND'!E21+'MAN-PEND'!E21+'MH-PEND'!E21+'SAT-PEND'!E21</f>
        <v>185.36999999999998</v>
      </c>
      <c r="F21" s="45">
        <f>'CLE-PEND'!F21+'MAN-PEND'!F21+'MH-PEND'!F21+'SAT-PEND'!F21</f>
        <v>1688.8916666666662</v>
      </c>
      <c r="I21" s="44" t="s">
        <v>33</v>
      </c>
      <c r="J21" s="45">
        <f>'CLE-PEND'!J21+'MAN-PEND'!J21+'MH-PEND'!J21+'SAT-PEND'!J21</f>
        <v>47985.182500000003</v>
      </c>
      <c r="K21" s="45">
        <f>'CLE-PEND'!K21+'MAN-PEND'!K21+'MH-PEND'!K21+'SAT-PEND'!K21</f>
        <v>19529.868333333332</v>
      </c>
      <c r="L21" s="45">
        <f>'CLE-PEND'!L21+'MAN-PEND'!L21+'MH-PEND'!L21+'SAT-PEND'!L21</f>
        <v>5399.8766666666706</v>
      </c>
      <c r="M21" s="45">
        <f>'CLE-PEND'!M21+'MAN-PEND'!M21+'MH-PEND'!M21+'SAT-PEND'!M21</f>
        <v>3248.0936666666698</v>
      </c>
      <c r="N21" s="45">
        <f>'CLE-PEND'!N21+'MAN-PEND'!N21+'MH-PEND'!N21+'SAT-PEND'!N21</f>
        <v>76163.021166666687</v>
      </c>
    </row>
    <row r="22" spans="1:14" ht="18.75" x14ac:dyDescent="0.3">
      <c r="A22" s="213" t="s">
        <v>145</v>
      </c>
      <c r="B22" s="213"/>
      <c r="C22" s="213"/>
    </row>
    <row r="24" spans="1:14" ht="15.75" x14ac:dyDescent="0.25">
      <c r="A24" s="212" t="s">
        <v>87</v>
      </c>
      <c r="B24" s="212"/>
      <c r="C24" s="212"/>
      <c r="D24" s="212"/>
      <c r="E24" s="212"/>
      <c r="F24" s="212"/>
      <c r="I24" s="30"/>
      <c r="J24" s="31"/>
    </row>
    <row r="25" spans="1:14" ht="15.75" x14ac:dyDescent="0.25">
      <c r="A25" s="125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183</v>
      </c>
    </row>
    <row r="26" spans="1:14" x14ac:dyDescent="0.25">
      <c r="A26" s="43" t="s">
        <v>4</v>
      </c>
      <c r="B26" s="10">
        <f>B5+J5</f>
        <v>7241.3499999999995</v>
      </c>
      <c r="C26" s="10">
        <f t="shared" ref="C26:F41" si="0">C5+K5</f>
        <v>5740.87</v>
      </c>
      <c r="D26" s="10">
        <f t="shared" si="0"/>
        <v>1112.4549999999999</v>
      </c>
      <c r="E26" s="10">
        <f t="shared" si="0"/>
        <v>847.58199999999988</v>
      </c>
      <c r="F26" s="10">
        <f t="shared" si="0"/>
        <v>14942.257000000003</v>
      </c>
    </row>
    <row r="27" spans="1:14" x14ac:dyDescent="0.25">
      <c r="A27" s="43" t="s">
        <v>43</v>
      </c>
      <c r="B27" s="10">
        <f t="shared" ref="B27:B42" si="1">B6+J6</f>
        <v>50.42</v>
      </c>
      <c r="C27" s="10">
        <f t="shared" si="0"/>
        <v>3.47</v>
      </c>
      <c r="D27" s="10">
        <f t="shared" si="0"/>
        <v>4.95</v>
      </c>
      <c r="E27" s="10">
        <f t="shared" si="0"/>
        <v>0.72000000000000008</v>
      </c>
      <c r="F27" s="10">
        <f t="shared" si="0"/>
        <v>59.56</v>
      </c>
    </row>
    <row r="28" spans="1:14" x14ac:dyDescent="0.25">
      <c r="A28" s="43" t="s">
        <v>13</v>
      </c>
      <c r="B28" s="10">
        <f t="shared" si="1"/>
        <v>0</v>
      </c>
      <c r="C28" s="10">
        <f t="shared" si="0"/>
        <v>0</v>
      </c>
      <c r="D28" s="10">
        <f t="shared" si="0"/>
        <v>0</v>
      </c>
      <c r="E28" s="10">
        <f t="shared" si="0"/>
        <v>0</v>
      </c>
      <c r="F28" s="10">
        <f t="shared" si="0"/>
        <v>0</v>
      </c>
    </row>
    <row r="29" spans="1:14" x14ac:dyDescent="0.25">
      <c r="A29" s="43" t="s">
        <v>14</v>
      </c>
      <c r="B29" s="10">
        <f t="shared" si="1"/>
        <v>32914.680833333623</v>
      </c>
      <c r="C29" s="10">
        <f t="shared" si="0"/>
        <v>11921.750000000013</v>
      </c>
      <c r="D29" s="10">
        <f t="shared" si="0"/>
        <v>3827.3116666666501</v>
      </c>
      <c r="E29" s="10">
        <f t="shared" si="0"/>
        <v>2257.5716666666581</v>
      </c>
      <c r="F29" s="10">
        <f t="shared" si="0"/>
        <v>50921.31416666694</v>
      </c>
    </row>
    <row r="30" spans="1:14" x14ac:dyDescent="0.25">
      <c r="A30" s="43" t="s">
        <v>36</v>
      </c>
      <c r="B30" s="10">
        <f t="shared" si="1"/>
        <v>0</v>
      </c>
      <c r="C30" s="10">
        <f t="shared" si="0"/>
        <v>0</v>
      </c>
      <c r="D30" s="10">
        <f t="shared" si="0"/>
        <v>0</v>
      </c>
      <c r="E30" s="10">
        <f t="shared" si="0"/>
        <v>0</v>
      </c>
      <c r="F30" s="10">
        <f t="shared" si="0"/>
        <v>0</v>
      </c>
    </row>
    <row r="31" spans="1:14" x14ac:dyDescent="0.25">
      <c r="A31" s="43" t="s">
        <v>39</v>
      </c>
      <c r="B31" s="10">
        <f t="shared" si="1"/>
        <v>150.97999999999999</v>
      </c>
      <c r="C31" s="10">
        <f t="shared" si="0"/>
        <v>162.51999999999998</v>
      </c>
      <c r="D31" s="10">
        <f t="shared" si="0"/>
        <v>9.44</v>
      </c>
      <c r="E31" s="10">
        <f t="shared" si="0"/>
        <v>3.7199999999999998</v>
      </c>
      <c r="F31" s="10">
        <f t="shared" si="0"/>
        <v>326.66000000000003</v>
      </c>
    </row>
    <row r="32" spans="1:14" x14ac:dyDescent="0.25">
      <c r="A32" s="43" t="s">
        <v>18</v>
      </c>
      <c r="B32" s="10">
        <f t="shared" si="1"/>
        <v>0</v>
      </c>
      <c r="C32" s="10">
        <f t="shared" si="0"/>
        <v>0</v>
      </c>
      <c r="D32" s="10">
        <f t="shared" si="0"/>
        <v>0</v>
      </c>
      <c r="E32" s="10">
        <f t="shared" si="0"/>
        <v>0</v>
      </c>
      <c r="F32" s="10">
        <f t="shared" si="0"/>
        <v>0</v>
      </c>
    </row>
    <row r="33" spans="1:7" x14ac:dyDescent="0.25">
      <c r="A33" s="43" t="s">
        <v>19</v>
      </c>
      <c r="B33" s="10">
        <f t="shared" si="1"/>
        <v>4776.0900000000211</v>
      </c>
      <c r="C33" s="10">
        <f t="shared" si="0"/>
        <v>689.77833333333297</v>
      </c>
      <c r="D33" s="10">
        <f t="shared" si="0"/>
        <v>283.82</v>
      </c>
      <c r="E33" s="10">
        <f t="shared" si="0"/>
        <v>188.4</v>
      </c>
      <c r="F33" s="10">
        <f t="shared" si="0"/>
        <v>5938.088333333355</v>
      </c>
    </row>
    <row r="34" spans="1:7" x14ac:dyDescent="0.25">
      <c r="A34" s="43" t="s">
        <v>23</v>
      </c>
      <c r="B34" s="10">
        <f t="shared" si="1"/>
        <v>8.36</v>
      </c>
      <c r="C34" s="10">
        <f t="shared" si="0"/>
        <v>0.09</v>
      </c>
      <c r="D34" s="10">
        <f t="shared" si="0"/>
        <v>0</v>
      </c>
      <c r="E34" s="10">
        <f t="shared" si="0"/>
        <v>0.2</v>
      </c>
      <c r="F34" s="10">
        <f t="shared" si="0"/>
        <v>8.6499999999999986</v>
      </c>
    </row>
    <row r="35" spans="1:7" x14ac:dyDescent="0.25">
      <c r="A35" s="43" t="s">
        <v>26</v>
      </c>
      <c r="B35" s="10">
        <f t="shared" si="1"/>
        <v>0</v>
      </c>
      <c r="C35" s="10">
        <f t="shared" si="0"/>
        <v>0</v>
      </c>
      <c r="D35" s="10">
        <f t="shared" si="0"/>
        <v>0</v>
      </c>
      <c r="E35" s="10">
        <f t="shared" si="0"/>
        <v>0</v>
      </c>
      <c r="F35" s="10">
        <f t="shared" si="0"/>
        <v>0</v>
      </c>
    </row>
    <row r="36" spans="1:7" x14ac:dyDescent="0.25">
      <c r="A36" s="43" t="s">
        <v>160</v>
      </c>
      <c r="B36" s="10">
        <f t="shared" si="1"/>
        <v>30.155000000000001</v>
      </c>
      <c r="C36" s="10">
        <f t="shared" si="0"/>
        <v>2.21</v>
      </c>
      <c r="D36" s="10">
        <f t="shared" si="0"/>
        <v>0.43000000000000005</v>
      </c>
      <c r="E36" s="10">
        <f t="shared" si="0"/>
        <v>0.51</v>
      </c>
      <c r="F36" s="10">
        <f t="shared" si="0"/>
        <v>33.305</v>
      </c>
    </row>
    <row r="37" spans="1:7" x14ac:dyDescent="0.25">
      <c r="A37" s="43" t="s">
        <v>161</v>
      </c>
      <c r="B37" s="10">
        <f t="shared" si="1"/>
        <v>0</v>
      </c>
      <c r="C37" s="10">
        <f t="shared" si="0"/>
        <v>0</v>
      </c>
      <c r="D37" s="10">
        <f t="shared" si="0"/>
        <v>0</v>
      </c>
      <c r="E37" s="10">
        <f t="shared" si="0"/>
        <v>0</v>
      </c>
      <c r="F37" s="10">
        <f t="shared" si="0"/>
        <v>0</v>
      </c>
    </row>
    <row r="38" spans="1:7" x14ac:dyDescent="0.25">
      <c r="A38" s="43" t="s">
        <v>89</v>
      </c>
      <c r="B38" s="10">
        <f t="shared" si="1"/>
        <v>89.95</v>
      </c>
      <c r="C38" s="10">
        <f t="shared" si="0"/>
        <v>0</v>
      </c>
      <c r="D38" s="10">
        <f t="shared" si="0"/>
        <v>0</v>
      </c>
      <c r="E38" s="10">
        <f t="shared" si="0"/>
        <v>0</v>
      </c>
      <c r="F38" s="10">
        <f t="shared" si="0"/>
        <v>89.95</v>
      </c>
    </row>
    <row r="39" spans="1:7" x14ac:dyDescent="0.25">
      <c r="A39" s="43" t="s">
        <v>32</v>
      </c>
      <c r="B39" s="10">
        <f t="shared" si="1"/>
        <v>3508.1683333333331</v>
      </c>
      <c r="C39" s="10">
        <f t="shared" si="0"/>
        <v>1529.4149999999988</v>
      </c>
      <c r="D39" s="10">
        <f t="shared" si="0"/>
        <v>357.11499999999995</v>
      </c>
      <c r="E39" s="10">
        <f t="shared" si="0"/>
        <v>134.76</v>
      </c>
      <c r="F39" s="10">
        <f t="shared" si="0"/>
        <v>5529.4583333333312</v>
      </c>
    </row>
    <row r="40" spans="1:7" x14ac:dyDescent="0.25">
      <c r="A40" s="43" t="s">
        <v>90</v>
      </c>
      <c r="B40" s="10">
        <f t="shared" si="1"/>
        <v>2.67</v>
      </c>
      <c r="C40" s="10">
        <f t="shared" si="0"/>
        <v>0</v>
      </c>
      <c r="D40" s="10">
        <f t="shared" si="0"/>
        <v>0</v>
      </c>
      <c r="E40" s="10">
        <f t="shared" si="0"/>
        <v>0</v>
      </c>
      <c r="F40" s="10">
        <f t="shared" si="0"/>
        <v>2.67</v>
      </c>
    </row>
    <row r="41" spans="1:7" x14ac:dyDescent="0.25">
      <c r="A41" s="43" t="s">
        <v>91</v>
      </c>
      <c r="B41" s="10">
        <f t="shared" si="1"/>
        <v>0</v>
      </c>
      <c r="C41" s="10">
        <f t="shared" si="0"/>
        <v>0</v>
      </c>
      <c r="D41" s="10">
        <f t="shared" si="0"/>
        <v>0</v>
      </c>
      <c r="E41" s="10">
        <f t="shared" si="0"/>
        <v>0</v>
      </c>
      <c r="F41" s="10">
        <f t="shared" si="0"/>
        <v>0</v>
      </c>
    </row>
    <row r="42" spans="1:7" x14ac:dyDescent="0.25">
      <c r="A42" s="44" t="s">
        <v>33</v>
      </c>
      <c r="B42" s="45">
        <f t="shared" si="1"/>
        <v>48772.824166666665</v>
      </c>
      <c r="C42" s="45">
        <f t="shared" ref="C42" si="2">C21+K21</f>
        <v>20050.103333333333</v>
      </c>
      <c r="D42" s="45">
        <f t="shared" ref="D42" si="3">D21+L21</f>
        <v>5595.5216666666711</v>
      </c>
      <c r="E42" s="45">
        <f t="shared" ref="E42" si="4">E21+M21</f>
        <v>3433.4636666666697</v>
      </c>
      <c r="F42" s="45">
        <f t="shared" ref="F42" si="5">F21+N21</f>
        <v>77851.91283333335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0.48462223611867994</v>
      </c>
      <c r="C46" s="19">
        <f t="shared" ref="C46:F46" si="6">IFERROR(C26/$F26,"")</f>
        <v>0.38420367150692153</v>
      </c>
      <c r="D46" s="19">
        <f t="shared" si="6"/>
        <v>7.4450265445173358E-2</v>
      </c>
      <c r="E46" s="19">
        <f t="shared" si="6"/>
        <v>5.6723826929224931E-2</v>
      </c>
      <c r="F46" s="19">
        <f t="shared" si="6"/>
        <v>1</v>
      </c>
      <c r="G46" s="19">
        <f t="shared" ref="G46:G61" si="7">IFERROR(F26/$F$42,"")</f>
        <v>0.19193179019234416</v>
      </c>
    </row>
    <row r="47" spans="1:7" x14ac:dyDescent="0.25">
      <c r="A47" s="43" t="s">
        <v>43</v>
      </c>
      <c r="B47" s="19">
        <f t="shared" ref="B47:F62" si="8">IFERROR(B27/$F27,"")</f>
        <v>0.84654130288784424</v>
      </c>
      <c r="C47" s="19">
        <f t="shared" si="8"/>
        <v>5.8260577568838144E-2</v>
      </c>
      <c r="D47" s="19">
        <f t="shared" si="8"/>
        <v>8.3109469442578909E-2</v>
      </c>
      <c r="E47" s="19">
        <f t="shared" si="8"/>
        <v>1.2088650100738752E-2</v>
      </c>
      <c r="F47" s="19">
        <f t="shared" si="8"/>
        <v>1</v>
      </c>
      <c r="G47" s="19">
        <f t="shared" si="7"/>
        <v>7.6504221710656001E-4</v>
      </c>
    </row>
    <row r="48" spans="1:7" x14ac:dyDescent="0.25">
      <c r="A48" s="43" t="s">
        <v>13</v>
      </c>
      <c r="B48" s="19" t="str">
        <f t="shared" si="8"/>
        <v/>
      </c>
      <c r="C48" s="19" t="str">
        <f t="shared" si="8"/>
        <v/>
      </c>
      <c r="D48" s="19" t="str">
        <f t="shared" si="8"/>
        <v/>
      </c>
      <c r="E48" s="19" t="str">
        <f t="shared" si="8"/>
        <v/>
      </c>
      <c r="F48" s="19" t="str">
        <f t="shared" si="8"/>
        <v/>
      </c>
      <c r="G48" s="19">
        <f t="shared" si="7"/>
        <v>0</v>
      </c>
    </row>
    <row r="49" spans="1:7" x14ac:dyDescent="0.25">
      <c r="A49" s="43" t="s">
        <v>14</v>
      </c>
      <c r="B49" s="19">
        <f t="shared" si="8"/>
        <v>0.64638317710346038</v>
      </c>
      <c r="C49" s="19">
        <f t="shared" si="8"/>
        <v>0.23412101975569166</v>
      </c>
      <c r="D49" s="19">
        <f t="shared" si="8"/>
        <v>7.5161290106138035E-2</v>
      </c>
      <c r="E49" s="19">
        <f t="shared" si="8"/>
        <v>4.4334513034709991E-2</v>
      </c>
      <c r="F49" s="19">
        <f t="shared" si="8"/>
        <v>1</v>
      </c>
      <c r="G49" s="19">
        <f t="shared" si="7"/>
        <v>0.65407916534665145</v>
      </c>
    </row>
    <row r="50" spans="1:7" x14ac:dyDescent="0.25">
      <c r="A50" s="43" t="s">
        <v>36</v>
      </c>
      <c r="B50" s="19" t="str">
        <f t="shared" si="8"/>
        <v/>
      </c>
      <c r="C50" s="19" t="str">
        <f t="shared" si="8"/>
        <v/>
      </c>
      <c r="D50" s="19" t="str">
        <f t="shared" si="8"/>
        <v/>
      </c>
      <c r="E50" s="19" t="str">
        <f t="shared" si="8"/>
        <v/>
      </c>
      <c r="F50" s="19" t="str">
        <f t="shared" si="8"/>
        <v/>
      </c>
      <c r="G50" s="19">
        <f t="shared" si="7"/>
        <v>0</v>
      </c>
    </row>
    <row r="51" spans="1:7" x14ac:dyDescent="0.25">
      <c r="A51" s="43" t="s">
        <v>39</v>
      </c>
      <c r="B51" s="19">
        <f t="shared" si="8"/>
        <v>0.46219310598175467</v>
      </c>
      <c r="C51" s="19">
        <f t="shared" si="8"/>
        <v>0.49752035755831742</v>
      </c>
      <c r="D51" s="19">
        <f t="shared" si="8"/>
        <v>2.8898548949978568E-2</v>
      </c>
      <c r="E51" s="19">
        <f t="shared" si="8"/>
        <v>1.1387987509949181E-2</v>
      </c>
      <c r="F51" s="19">
        <f t="shared" si="8"/>
        <v>1</v>
      </c>
      <c r="G51" s="19">
        <f t="shared" si="7"/>
        <v>4.1959148865014931E-3</v>
      </c>
    </row>
    <row r="52" spans="1:7" x14ac:dyDescent="0.25">
      <c r="A52" s="43" t="s">
        <v>18</v>
      </c>
      <c r="B52" s="19" t="str">
        <f t="shared" si="8"/>
        <v/>
      </c>
      <c r="C52" s="19" t="str">
        <f t="shared" si="8"/>
        <v/>
      </c>
      <c r="D52" s="19" t="str">
        <f t="shared" si="8"/>
        <v/>
      </c>
      <c r="E52" s="19" t="str">
        <f t="shared" si="8"/>
        <v/>
      </c>
      <c r="F52" s="19" t="str">
        <f t="shared" si="8"/>
        <v/>
      </c>
      <c r="G52" s="19">
        <f t="shared" si="7"/>
        <v>0</v>
      </c>
    </row>
    <row r="53" spans="1:7" x14ac:dyDescent="0.25">
      <c r="A53" s="43" t="s">
        <v>19</v>
      </c>
      <c r="B53" s="19">
        <f t="shared" si="8"/>
        <v>0.80431440758291239</v>
      </c>
      <c r="C53" s="19">
        <f t="shared" si="8"/>
        <v>0.11616168278623852</v>
      </c>
      <c r="D53" s="19">
        <f t="shared" si="8"/>
        <v>4.7796527109032948E-2</v>
      </c>
      <c r="E53" s="19">
        <f t="shared" si="8"/>
        <v>3.1727382521815971E-2</v>
      </c>
      <c r="F53" s="19">
        <f t="shared" si="8"/>
        <v>1</v>
      </c>
      <c r="G53" s="19">
        <f t="shared" si="7"/>
        <v>7.6274148151577362E-2</v>
      </c>
    </row>
    <row r="54" spans="1:7" x14ac:dyDescent="0.25">
      <c r="A54" s="43" t="s">
        <v>23</v>
      </c>
      <c r="B54" s="19">
        <f t="shared" si="8"/>
        <v>0.96647398843930643</v>
      </c>
      <c r="C54" s="19">
        <f t="shared" si="8"/>
        <v>1.0404624277456649E-2</v>
      </c>
      <c r="D54" s="19">
        <f t="shared" si="8"/>
        <v>0</v>
      </c>
      <c r="E54" s="19">
        <f t="shared" si="8"/>
        <v>2.3121387283237E-2</v>
      </c>
      <c r="F54" s="19">
        <f t="shared" si="8"/>
        <v>1</v>
      </c>
      <c r="G54" s="19">
        <f t="shared" si="7"/>
        <v>1.1110838109422E-4</v>
      </c>
    </row>
    <row r="55" spans="1:7" x14ac:dyDescent="0.25">
      <c r="A55" s="43" t="s">
        <v>26</v>
      </c>
      <c r="B55" s="19" t="str">
        <f t="shared" si="8"/>
        <v/>
      </c>
      <c r="C55" s="19" t="str">
        <f t="shared" si="8"/>
        <v/>
      </c>
      <c r="D55" s="19" t="str">
        <f t="shared" si="8"/>
        <v/>
      </c>
      <c r="E55" s="19" t="str">
        <f t="shared" si="8"/>
        <v/>
      </c>
      <c r="F55" s="19" t="str">
        <f t="shared" si="8"/>
        <v/>
      </c>
      <c r="G55" s="19">
        <f t="shared" si="7"/>
        <v>0</v>
      </c>
    </row>
    <row r="56" spans="1:7" x14ac:dyDescent="0.25">
      <c r="A56" s="43" t="s">
        <v>160</v>
      </c>
      <c r="B56" s="19">
        <f t="shared" si="8"/>
        <v>0.9054196066656659</v>
      </c>
      <c r="C56" s="19">
        <f t="shared" si="8"/>
        <v>6.6356402942501128E-2</v>
      </c>
      <c r="D56" s="19">
        <f t="shared" si="8"/>
        <v>1.2910974328178953E-2</v>
      </c>
      <c r="E56" s="19">
        <f t="shared" si="8"/>
        <v>1.5313016063654107E-2</v>
      </c>
      <c r="F56" s="19">
        <f t="shared" si="8"/>
        <v>1</v>
      </c>
      <c r="G56" s="19">
        <f t="shared" si="7"/>
        <v>4.2779937946161824E-4</v>
      </c>
    </row>
    <row r="57" spans="1:7" x14ac:dyDescent="0.25">
      <c r="A57" s="43" t="s">
        <v>161</v>
      </c>
      <c r="B57" s="19" t="str">
        <f t="shared" si="8"/>
        <v/>
      </c>
      <c r="C57" s="19" t="str">
        <f t="shared" si="8"/>
        <v/>
      </c>
      <c r="D57" s="19" t="str">
        <f t="shared" si="8"/>
        <v/>
      </c>
      <c r="E57" s="19" t="str">
        <f t="shared" si="8"/>
        <v/>
      </c>
      <c r="F57" s="19" t="str">
        <f t="shared" si="8"/>
        <v/>
      </c>
      <c r="G57" s="19">
        <f t="shared" si="7"/>
        <v>0</v>
      </c>
    </row>
    <row r="58" spans="1:7" x14ac:dyDescent="0.25">
      <c r="A58" s="43" t="s">
        <v>89</v>
      </c>
      <c r="B58" s="19">
        <f t="shared" si="8"/>
        <v>1</v>
      </c>
      <c r="C58" s="19">
        <f t="shared" si="8"/>
        <v>0</v>
      </c>
      <c r="D58" s="19">
        <f t="shared" si="8"/>
        <v>0</v>
      </c>
      <c r="E58" s="19">
        <f t="shared" si="8"/>
        <v>0</v>
      </c>
      <c r="F58" s="19">
        <f t="shared" si="8"/>
        <v>1</v>
      </c>
      <c r="G58" s="19">
        <f t="shared" si="7"/>
        <v>1.1553987143844036E-3</v>
      </c>
    </row>
    <row r="59" spans="1:7" x14ac:dyDescent="0.25">
      <c r="A59" s="43" t="s">
        <v>32</v>
      </c>
      <c r="B59" s="19">
        <f t="shared" si="8"/>
        <v>0.63445063184308303</v>
      </c>
      <c r="C59" s="19">
        <f t="shared" si="8"/>
        <v>0.27659400031648657</v>
      </c>
      <c r="D59" s="19">
        <f t="shared" si="8"/>
        <v>6.4584083733337364E-2</v>
      </c>
      <c r="E59" s="19">
        <f t="shared" si="8"/>
        <v>2.4371284107093077E-2</v>
      </c>
      <c r="F59" s="19">
        <f t="shared" si="8"/>
        <v>1</v>
      </c>
      <c r="G59" s="19">
        <f t="shared" si="7"/>
        <v>7.1025336849087906E-2</v>
      </c>
    </row>
    <row r="60" spans="1:7" x14ac:dyDescent="0.25">
      <c r="A60" s="43" t="s">
        <v>90</v>
      </c>
      <c r="B60" s="19">
        <f t="shared" si="8"/>
        <v>1</v>
      </c>
      <c r="C60" s="19">
        <f t="shared" si="8"/>
        <v>0</v>
      </c>
      <c r="D60" s="19">
        <f t="shared" si="8"/>
        <v>0</v>
      </c>
      <c r="E60" s="19">
        <f t="shared" si="8"/>
        <v>0</v>
      </c>
      <c r="F60" s="19">
        <f t="shared" si="8"/>
        <v>1</v>
      </c>
      <c r="G60" s="19">
        <f t="shared" si="7"/>
        <v>3.429588179440086E-5</v>
      </c>
    </row>
    <row r="61" spans="1:7" x14ac:dyDescent="0.25">
      <c r="A61" s="43" t="s">
        <v>91</v>
      </c>
      <c r="B61" s="19" t="str">
        <f t="shared" si="8"/>
        <v/>
      </c>
      <c r="C61" s="19" t="str">
        <f t="shared" si="8"/>
        <v/>
      </c>
      <c r="D61" s="19" t="str">
        <f t="shared" si="8"/>
        <v/>
      </c>
      <c r="E61" s="19" t="str">
        <f t="shared" si="8"/>
        <v/>
      </c>
      <c r="F61" s="19" t="str">
        <f t="shared" si="8"/>
        <v/>
      </c>
      <c r="G61" s="19">
        <f t="shared" si="7"/>
        <v>0</v>
      </c>
    </row>
    <row r="62" spans="1:7" x14ac:dyDescent="0.25">
      <c r="A62" s="44" t="s">
        <v>33</v>
      </c>
      <c r="B62" s="46">
        <f>IFERROR(B42/$F42,"")</f>
        <v>0.62648202711576695</v>
      </c>
      <c r="C62" s="46">
        <f t="shared" si="8"/>
        <v>0.25754156325300476</v>
      </c>
      <c r="D62" s="46">
        <f t="shared" si="8"/>
        <v>7.1873913729591399E-2</v>
      </c>
      <c r="E62" s="46">
        <f t="shared" si="8"/>
        <v>4.4102495901636805E-2</v>
      </c>
      <c r="F62" s="46">
        <f t="shared" si="8"/>
        <v>1</v>
      </c>
    </row>
    <row r="64" spans="1:7" ht="15.75" x14ac:dyDescent="0.25">
      <c r="A64" s="109" t="s">
        <v>146</v>
      </c>
    </row>
    <row r="65" spans="1:6" ht="15.75" x14ac:dyDescent="0.25">
      <c r="A65" s="47" t="s">
        <v>101</v>
      </c>
      <c r="B65" s="42" t="s">
        <v>162</v>
      </c>
      <c r="C65" s="42" t="s">
        <v>57</v>
      </c>
      <c r="D65" s="42" t="s">
        <v>58</v>
      </c>
      <c r="E65" s="42" t="s">
        <v>163</v>
      </c>
      <c r="F65" s="110"/>
    </row>
    <row r="66" spans="1:6" ht="15.75" x14ac:dyDescent="0.25">
      <c r="A66" s="122" t="s">
        <v>134</v>
      </c>
      <c r="B66" s="85">
        <v>0.66885484678719753</v>
      </c>
      <c r="C66" s="85">
        <v>0.22538585793933069</v>
      </c>
      <c r="D66" s="85">
        <v>6.4819935662658187E-2</v>
      </c>
      <c r="E66" s="85">
        <v>4.0939359610813547E-2</v>
      </c>
      <c r="F66" s="127"/>
    </row>
    <row r="67" spans="1:6" ht="15.75" x14ac:dyDescent="0.25">
      <c r="A67" s="122" t="s">
        <v>147</v>
      </c>
      <c r="B67" s="19">
        <v>0.53492640906839872</v>
      </c>
      <c r="C67" s="19">
        <v>0.35448639278405164</v>
      </c>
      <c r="D67" s="19">
        <v>7.956048723048266E-2</v>
      </c>
      <c r="E67" s="19">
        <v>3.1026710917066939E-2</v>
      </c>
      <c r="F67" s="128"/>
    </row>
    <row r="68" spans="1:6" ht="15.75" x14ac:dyDescent="0.25">
      <c r="A68" s="122" t="s">
        <v>138</v>
      </c>
      <c r="B68" s="19">
        <v>0.56890477272786655</v>
      </c>
      <c r="C68" s="19">
        <v>0.29155622434877571</v>
      </c>
      <c r="D68" s="19">
        <v>8.4223011189224081E-2</v>
      </c>
      <c r="E68" s="19">
        <v>5.5315991734133804E-2</v>
      </c>
      <c r="F68" s="128"/>
    </row>
    <row r="69" spans="1:6" ht="15.75" x14ac:dyDescent="0.25">
      <c r="A69" s="122" t="s">
        <v>137</v>
      </c>
      <c r="B69" s="85">
        <v>0.68872346602917112</v>
      </c>
      <c r="C69" s="85">
        <v>0.18425988001990348</v>
      </c>
      <c r="D69" s="85">
        <v>6.8246428659325398E-2</v>
      </c>
      <c r="E69" s="85">
        <v>5.8770225291600052E-2</v>
      </c>
      <c r="F69" s="127"/>
    </row>
  </sheetData>
  <mergeCells count="5">
    <mergeCell ref="A3:F3"/>
    <mergeCell ref="I3:N3"/>
    <mergeCell ref="A24:F24"/>
    <mergeCell ref="A22:C22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1" sqref="F1:G1"/>
    </sheetView>
  </sheetViews>
  <sheetFormatPr baseColWidth="10" defaultRowHeight="15" x14ac:dyDescent="0.25"/>
  <cols>
    <col min="1" max="1" width="22.28515625" customWidth="1"/>
    <col min="9" max="9" width="17.85546875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2" t="s">
        <v>164</v>
      </c>
      <c r="B3" s="212"/>
      <c r="I3" s="212" t="s">
        <v>165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53.1</v>
      </c>
      <c r="C5" s="10">
        <v>101.94</v>
      </c>
      <c r="D5" s="10">
        <v>28.13</v>
      </c>
      <c r="E5" s="10">
        <v>22.37</v>
      </c>
      <c r="F5" s="10">
        <v>205.54</v>
      </c>
      <c r="I5" s="43" t="s">
        <v>4</v>
      </c>
      <c r="J5" s="10">
        <v>1528.33</v>
      </c>
      <c r="K5" s="10">
        <v>1285.56</v>
      </c>
      <c r="L5" s="10">
        <v>226</v>
      </c>
      <c r="M5" s="10">
        <v>323.65499999999997</v>
      </c>
      <c r="N5" s="10">
        <v>3363.5450000000001</v>
      </c>
    </row>
    <row r="6" spans="1:14" x14ac:dyDescent="0.25">
      <c r="A6" s="43" t="s">
        <v>43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I6" s="43" t="s">
        <v>43</v>
      </c>
      <c r="J6" s="10">
        <v>1.54</v>
      </c>
      <c r="K6" s="10">
        <v>0.82</v>
      </c>
      <c r="L6" s="10">
        <v>4.92</v>
      </c>
      <c r="M6" s="10">
        <v>0</v>
      </c>
      <c r="N6" s="10">
        <v>7.28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58.503333333333302</v>
      </c>
      <c r="C8" s="10">
        <v>29.16</v>
      </c>
      <c r="D8" s="10">
        <v>9.75</v>
      </c>
      <c r="E8" s="10">
        <v>12.145</v>
      </c>
      <c r="F8" s="10">
        <v>109.55833333333329</v>
      </c>
      <c r="I8" s="43" t="s">
        <v>14</v>
      </c>
      <c r="J8" s="10">
        <v>22039.815000000301</v>
      </c>
      <c r="K8" s="10">
        <v>7368.9566666666797</v>
      </c>
      <c r="L8" s="10">
        <v>2233.2116666666602</v>
      </c>
      <c r="M8" s="10">
        <v>1227.1316666666601</v>
      </c>
      <c r="N8" s="10">
        <v>32869.115000000296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0.67</v>
      </c>
      <c r="C10" s="10">
        <v>0.02</v>
      </c>
      <c r="D10" s="10">
        <v>0.03</v>
      </c>
      <c r="E10" s="10">
        <v>0</v>
      </c>
      <c r="F10" s="10">
        <v>0.72000000000000008</v>
      </c>
      <c r="I10" s="43" t="s">
        <v>39</v>
      </c>
      <c r="J10" s="10">
        <v>53.33</v>
      </c>
      <c r="K10" s="10">
        <v>41.46</v>
      </c>
      <c r="L10" s="10">
        <v>0</v>
      </c>
      <c r="M10" s="10">
        <v>3.48</v>
      </c>
      <c r="N10" s="10">
        <v>98.27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0.71</v>
      </c>
      <c r="C12" s="10">
        <v>0.245</v>
      </c>
      <c r="D12" s="10">
        <v>0.28000000000000003</v>
      </c>
      <c r="E12" s="10">
        <v>0</v>
      </c>
      <c r="F12" s="10">
        <v>1.2349999999999999</v>
      </c>
      <c r="I12" s="43" t="s">
        <v>19</v>
      </c>
      <c r="J12" s="10">
        <v>4175.9300000000203</v>
      </c>
      <c r="K12" s="10">
        <v>571.50333333333299</v>
      </c>
      <c r="L12" s="10">
        <v>209.6</v>
      </c>
      <c r="M12" s="10">
        <v>147.55000000000001</v>
      </c>
      <c r="N12" s="10">
        <v>5104.5833333333539</v>
      </c>
    </row>
    <row r="13" spans="1:14" x14ac:dyDescent="0.25">
      <c r="A13" s="43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I13" s="43" t="s">
        <v>23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3.875</v>
      </c>
      <c r="C15" s="10">
        <v>0</v>
      </c>
      <c r="D15" s="10">
        <v>0</v>
      </c>
      <c r="E15" s="10">
        <v>0</v>
      </c>
      <c r="F15" s="10">
        <v>3.875</v>
      </c>
      <c r="I15" s="43" t="s">
        <v>160</v>
      </c>
      <c r="J15" s="10">
        <v>19.11</v>
      </c>
      <c r="K15" s="10">
        <v>1.19</v>
      </c>
      <c r="L15" s="10">
        <v>0.26</v>
      </c>
      <c r="M15" s="10">
        <v>0</v>
      </c>
      <c r="N15" s="10">
        <v>20.560000000000002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I17" s="43" t="s">
        <v>89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5">
      <c r="A18" s="43" t="s">
        <v>32</v>
      </c>
      <c r="B18" s="10">
        <v>46.67</v>
      </c>
      <c r="C18" s="10">
        <v>1.89</v>
      </c>
      <c r="D18" s="10">
        <v>2.12</v>
      </c>
      <c r="E18" s="10">
        <v>0.28999999999999998</v>
      </c>
      <c r="F18" s="10">
        <v>50.97</v>
      </c>
      <c r="I18" s="43" t="s">
        <v>32</v>
      </c>
      <c r="J18" s="10">
        <v>907.76</v>
      </c>
      <c r="K18" s="10">
        <v>332.5</v>
      </c>
      <c r="L18" s="10">
        <v>85.51</v>
      </c>
      <c r="M18" s="10">
        <v>31.7</v>
      </c>
      <c r="N18" s="10">
        <v>1357.47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0.96</v>
      </c>
      <c r="K19" s="10">
        <v>0</v>
      </c>
      <c r="L19" s="10">
        <v>0</v>
      </c>
      <c r="M19" s="10">
        <v>0</v>
      </c>
      <c r="N19" s="10">
        <v>0.96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163.52833333333299</v>
      </c>
      <c r="C21" s="126">
        <v>133.255</v>
      </c>
      <c r="D21" s="126">
        <v>40.31</v>
      </c>
      <c r="E21" s="126">
        <v>34.805</v>
      </c>
      <c r="F21" s="126">
        <v>371.89833333333297</v>
      </c>
      <c r="I21" s="44" t="s">
        <v>33</v>
      </c>
      <c r="J21" s="126">
        <v>28726.775000000001</v>
      </c>
      <c r="K21" s="126">
        <v>9601.99</v>
      </c>
      <c r="L21" s="126">
        <v>2759.5016666666702</v>
      </c>
      <c r="M21" s="126">
        <v>1733.5166666666701</v>
      </c>
      <c r="N21" s="126">
        <v>42821.78333333334</v>
      </c>
    </row>
    <row r="24" spans="1:14" ht="15.75" x14ac:dyDescent="0.25">
      <c r="A24" s="212" t="s">
        <v>166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1581.43</v>
      </c>
      <c r="C26" s="10">
        <v>1387.5</v>
      </c>
      <c r="D26" s="10">
        <v>254.13</v>
      </c>
      <c r="E26" s="10">
        <v>346.02499999999998</v>
      </c>
      <c r="F26" s="10">
        <v>3569.0850000000005</v>
      </c>
    </row>
    <row r="27" spans="1:14" x14ac:dyDescent="0.25">
      <c r="A27" s="43" t="s">
        <v>43</v>
      </c>
      <c r="B27" s="10">
        <v>1.54</v>
      </c>
      <c r="C27" s="10">
        <v>0.82</v>
      </c>
      <c r="D27" s="10">
        <v>4.92</v>
      </c>
      <c r="E27" s="10">
        <v>0</v>
      </c>
      <c r="F27" s="10">
        <v>7.2799999999999994</v>
      </c>
    </row>
    <row r="28" spans="1:14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14" x14ac:dyDescent="0.25">
      <c r="A29" s="43" t="s">
        <v>14</v>
      </c>
      <c r="B29" s="10">
        <v>22098.3183333333</v>
      </c>
      <c r="C29" s="10">
        <v>7398.1166666666704</v>
      </c>
      <c r="D29" s="10">
        <v>2242.9616666666702</v>
      </c>
      <c r="E29" s="10">
        <v>1239.2766666666701</v>
      </c>
      <c r="F29" s="10">
        <v>32978.67333333331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54</v>
      </c>
      <c r="C31" s="10">
        <v>41.48</v>
      </c>
      <c r="D31" s="10">
        <v>0.03</v>
      </c>
      <c r="E31" s="10">
        <v>3.48</v>
      </c>
      <c r="F31" s="10">
        <v>98.99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7" x14ac:dyDescent="0.25">
      <c r="A33" s="43" t="s">
        <v>19</v>
      </c>
      <c r="B33" s="10">
        <v>4176.6400000000003</v>
      </c>
      <c r="C33" s="10">
        <v>571.74833333333402</v>
      </c>
      <c r="D33" s="10">
        <v>209.88</v>
      </c>
      <c r="E33" s="10">
        <v>147.55000000000001</v>
      </c>
      <c r="F33" s="10">
        <v>5105.8183333333345</v>
      </c>
    </row>
    <row r="34" spans="1:7" x14ac:dyDescent="0.25">
      <c r="A34" s="43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7" x14ac:dyDescent="0.25">
      <c r="A36" s="43" t="s">
        <v>160</v>
      </c>
      <c r="B36" s="10">
        <v>22.984999999999999</v>
      </c>
      <c r="C36" s="10">
        <v>1.19</v>
      </c>
      <c r="D36" s="10">
        <v>0.26</v>
      </c>
      <c r="E36" s="10">
        <v>0</v>
      </c>
      <c r="F36" s="10">
        <v>24.435000000000002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7" x14ac:dyDescent="0.25">
      <c r="A39" s="43" t="s">
        <v>32</v>
      </c>
      <c r="B39" s="10">
        <v>954.43</v>
      </c>
      <c r="C39" s="10">
        <v>334.39</v>
      </c>
      <c r="D39" s="10">
        <v>87.63</v>
      </c>
      <c r="E39" s="10">
        <v>31.99</v>
      </c>
      <c r="F39" s="10">
        <v>1408.4399999999998</v>
      </c>
    </row>
    <row r="40" spans="1:7" x14ac:dyDescent="0.25">
      <c r="A40" s="43" t="s">
        <v>90</v>
      </c>
      <c r="B40" s="10">
        <v>0.96</v>
      </c>
      <c r="C40" s="10">
        <v>0</v>
      </c>
      <c r="D40" s="10">
        <v>0</v>
      </c>
      <c r="E40" s="10">
        <v>0</v>
      </c>
      <c r="F40" s="10">
        <v>0.96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28890.303333333301</v>
      </c>
      <c r="C42" s="126">
        <v>9735.2450000000008</v>
      </c>
      <c r="D42" s="126">
        <v>2799.8116666666701</v>
      </c>
      <c r="E42" s="126">
        <v>1768.3216666666699</v>
      </c>
      <c r="F42" s="126">
        <v>43193.681666666642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0.44309115641684071</v>
      </c>
      <c r="C46" s="19">
        <f t="shared" ref="C46:F46" si="0">IFERROR(C26/$F26,"")</f>
        <v>0.38875510109734002</v>
      </c>
      <c r="D46" s="19">
        <f t="shared" si="0"/>
        <v>7.1203123489633882E-2</v>
      </c>
      <c r="E46" s="19">
        <f t="shared" si="0"/>
        <v>9.6950618996185275E-2</v>
      </c>
      <c r="F46" s="19">
        <f t="shared" si="0"/>
        <v>1</v>
      </c>
      <c r="G46" s="19">
        <f>IFERROR(F26/$F$42,"")</f>
        <v>8.2629793578219771E-2</v>
      </c>
    </row>
    <row r="47" spans="1:7" x14ac:dyDescent="0.25">
      <c r="A47" s="43" t="s">
        <v>43</v>
      </c>
      <c r="B47" s="19">
        <f t="shared" ref="B47:F62" si="1">IFERROR(B27/$F27,"")</f>
        <v>0.21153846153846156</v>
      </c>
      <c r="C47" s="19">
        <f t="shared" si="1"/>
        <v>0.11263736263736264</v>
      </c>
      <c r="D47" s="19">
        <f t="shared" si="1"/>
        <v>0.67582417582417587</v>
      </c>
      <c r="E47" s="19">
        <f t="shared" si="1"/>
        <v>0</v>
      </c>
      <c r="F47" s="19">
        <f t="shared" si="1"/>
        <v>1</v>
      </c>
      <c r="G47" s="19">
        <f t="shared" ref="G47:G61" si="2">IFERROR(F27/$F$42,"")</f>
        <v>1.6854316925750992E-4</v>
      </c>
    </row>
    <row r="48" spans="1:7" x14ac:dyDescent="0.25">
      <c r="A48" s="43" t="s">
        <v>13</v>
      </c>
      <c r="B48" s="19" t="str">
        <f t="shared" si="1"/>
        <v/>
      </c>
      <c r="C48" s="19" t="str">
        <f t="shared" si="1"/>
        <v/>
      </c>
      <c r="D48" s="19" t="str">
        <f t="shared" si="1"/>
        <v/>
      </c>
      <c r="E48" s="19" t="str">
        <f t="shared" si="1"/>
        <v/>
      </c>
      <c r="F48" s="19" t="str">
        <f t="shared" si="1"/>
        <v/>
      </c>
      <c r="G48" s="19">
        <f t="shared" si="2"/>
        <v>0</v>
      </c>
    </row>
    <row r="49" spans="1:7" x14ac:dyDescent="0.25">
      <c r="A49" s="43" t="s">
        <v>14</v>
      </c>
      <c r="B49" s="19">
        <f t="shared" si="1"/>
        <v>0.67007905715228833</v>
      </c>
      <c r="C49" s="19">
        <f t="shared" si="1"/>
        <v>0.22433032984346882</v>
      </c>
      <c r="D49" s="19">
        <f t="shared" si="1"/>
        <v>6.8012489283478514E-2</v>
      </c>
      <c r="E49" s="19">
        <f t="shared" si="1"/>
        <v>3.7578123720764314E-2</v>
      </c>
      <c r="F49" s="19">
        <f t="shared" si="1"/>
        <v>1</v>
      </c>
      <c r="G49" s="19">
        <f t="shared" si="2"/>
        <v>0.7635068848225447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0.54550964743913533</v>
      </c>
      <c r="C51" s="19">
        <f t="shared" si="1"/>
        <v>0.41903222547732094</v>
      </c>
      <c r="D51" s="19">
        <f t="shared" si="1"/>
        <v>3.0306091524396402E-4</v>
      </c>
      <c r="E51" s="19">
        <f t="shared" si="1"/>
        <v>3.5155066168299831E-2</v>
      </c>
      <c r="F51" s="19">
        <f t="shared" si="1"/>
        <v>1</v>
      </c>
      <c r="G51" s="19">
        <f t="shared" si="2"/>
        <v>2.2917703742858391E-3</v>
      </c>
    </row>
    <row r="52" spans="1:7" x14ac:dyDescent="0.25">
      <c r="A52" s="43" t="s">
        <v>18</v>
      </c>
      <c r="B52" s="19" t="str">
        <f t="shared" si="1"/>
        <v/>
      </c>
      <c r="C52" s="19" t="str">
        <f t="shared" si="1"/>
        <v/>
      </c>
      <c r="D52" s="19" t="str">
        <f t="shared" si="1"/>
        <v/>
      </c>
      <c r="E52" s="19" t="str">
        <f t="shared" si="1"/>
        <v/>
      </c>
      <c r="F52" s="19" t="str">
        <f t="shared" si="1"/>
        <v/>
      </c>
      <c r="G52" s="19">
        <f t="shared" si="2"/>
        <v>0</v>
      </c>
    </row>
    <row r="53" spans="1:7" x14ac:dyDescent="0.25">
      <c r="A53" s="43" t="s">
        <v>19</v>
      </c>
      <c r="B53" s="19">
        <f t="shared" si="1"/>
        <v>0.81801578656506568</v>
      </c>
      <c r="C53" s="19">
        <f t="shared" si="1"/>
        <v>0.11197976426240532</v>
      </c>
      <c r="D53" s="19">
        <f t="shared" si="1"/>
        <v>4.1106045358057189E-2</v>
      </c>
      <c r="E53" s="19">
        <f t="shared" si="1"/>
        <v>2.8898403814471785E-2</v>
      </c>
      <c r="F53" s="19">
        <f t="shared" si="1"/>
        <v>1</v>
      </c>
      <c r="G53" s="19">
        <f t="shared" si="2"/>
        <v>0.11820752796059032</v>
      </c>
    </row>
    <row r="54" spans="1:7" x14ac:dyDescent="0.25">
      <c r="A54" s="43" t="s">
        <v>23</v>
      </c>
      <c r="B54" s="19" t="str">
        <f t="shared" si="1"/>
        <v/>
      </c>
      <c r="C54" s="19" t="str">
        <f t="shared" si="1"/>
        <v/>
      </c>
      <c r="D54" s="19" t="str">
        <f t="shared" si="1"/>
        <v/>
      </c>
      <c r="E54" s="19" t="str">
        <f t="shared" si="1"/>
        <v/>
      </c>
      <c r="F54" s="19" t="str">
        <f t="shared" si="1"/>
        <v/>
      </c>
      <c r="G54" s="19">
        <f t="shared" si="2"/>
        <v>0</v>
      </c>
    </row>
    <row r="55" spans="1:7" x14ac:dyDescent="0.25">
      <c r="A55" s="43" t="s">
        <v>26</v>
      </c>
      <c r="B55" s="19" t="str">
        <f t="shared" si="1"/>
        <v/>
      </c>
      <c r="C55" s="19" t="str">
        <f t="shared" si="1"/>
        <v/>
      </c>
      <c r="D55" s="19" t="str">
        <f t="shared" si="1"/>
        <v/>
      </c>
      <c r="E55" s="19" t="str">
        <f t="shared" si="1"/>
        <v/>
      </c>
      <c r="F55" s="19" t="str">
        <f t="shared" si="1"/>
        <v/>
      </c>
      <c r="G55" s="19">
        <f t="shared" si="2"/>
        <v>0</v>
      </c>
    </row>
    <row r="56" spans="1:7" x14ac:dyDescent="0.25">
      <c r="A56" s="43" t="s">
        <v>160</v>
      </c>
      <c r="B56" s="19">
        <f t="shared" si="1"/>
        <v>0.94065889093513388</v>
      </c>
      <c r="C56" s="19">
        <f t="shared" si="1"/>
        <v>4.8700634335993448E-2</v>
      </c>
      <c r="D56" s="19">
        <f t="shared" si="1"/>
        <v>1.0640474728872518E-2</v>
      </c>
      <c r="E56" s="19">
        <f t="shared" si="1"/>
        <v>0</v>
      </c>
      <c r="F56" s="19">
        <f t="shared" si="1"/>
        <v>1</v>
      </c>
      <c r="G56" s="19">
        <f t="shared" si="2"/>
        <v>5.6570773912187583E-4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 t="str">
        <f t="shared" si="1"/>
        <v/>
      </c>
      <c r="C58" s="19" t="str">
        <f t="shared" si="1"/>
        <v/>
      </c>
      <c r="D58" s="19" t="str">
        <f t="shared" si="1"/>
        <v/>
      </c>
      <c r="E58" s="19" t="str">
        <f t="shared" si="1"/>
        <v/>
      </c>
      <c r="F58" s="19" t="str">
        <f t="shared" si="1"/>
        <v/>
      </c>
      <c r="G58" s="19">
        <f t="shared" si="2"/>
        <v>0</v>
      </c>
    </row>
    <row r="59" spans="1:7" x14ac:dyDescent="0.25">
      <c r="A59" s="43" t="s">
        <v>32</v>
      </c>
      <c r="B59" s="19">
        <f t="shared" si="1"/>
        <v>0.67765045014342118</v>
      </c>
      <c r="C59" s="19">
        <f t="shared" si="1"/>
        <v>0.23741870438215332</v>
      </c>
      <c r="D59" s="19">
        <f t="shared" si="1"/>
        <v>6.2217772855073704E-2</v>
      </c>
      <c r="E59" s="19">
        <f t="shared" si="1"/>
        <v>2.2713072619351907E-2</v>
      </c>
      <c r="F59" s="19">
        <f t="shared" si="1"/>
        <v>1</v>
      </c>
      <c r="G59" s="19">
        <f t="shared" si="2"/>
        <v>3.2607546883110891E-2</v>
      </c>
    </row>
    <row r="60" spans="1:7" x14ac:dyDescent="0.25">
      <c r="A60" s="43" t="s">
        <v>90</v>
      </c>
      <c r="B60" s="19">
        <f t="shared" si="1"/>
        <v>1</v>
      </c>
      <c r="C60" s="19">
        <f t="shared" si="1"/>
        <v>0</v>
      </c>
      <c r="D60" s="19">
        <f t="shared" si="1"/>
        <v>0</v>
      </c>
      <c r="E60" s="19">
        <f t="shared" si="1"/>
        <v>0</v>
      </c>
      <c r="F60" s="19">
        <f t="shared" si="1"/>
        <v>1</v>
      </c>
      <c r="G60" s="19">
        <f t="shared" si="2"/>
        <v>2.222547286912219E-5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 t="shared" si="1"/>
        <v>0.66885484678719753</v>
      </c>
      <c r="C62" s="46">
        <f t="shared" si="1"/>
        <v>0.22538585793933069</v>
      </c>
      <c r="D62" s="46">
        <f t="shared" si="1"/>
        <v>6.4819935662658187E-2</v>
      </c>
      <c r="E62" s="46">
        <f t="shared" si="1"/>
        <v>4.0939359610813547E-2</v>
      </c>
      <c r="F62" s="46">
        <f t="shared" si="1"/>
        <v>1</v>
      </c>
    </row>
  </sheetData>
  <mergeCells count="4">
    <mergeCell ref="A3:B3"/>
    <mergeCell ref="C1:E1"/>
    <mergeCell ref="I3:J3"/>
    <mergeCell ref="A24:B24"/>
  </mergeCells>
  <hyperlinks>
    <hyperlink ref="G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1" sqref="F1:G1"/>
    </sheetView>
  </sheetViews>
  <sheetFormatPr baseColWidth="10" defaultRowHeight="15" x14ac:dyDescent="0.25"/>
  <cols>
    <col min="1" max="1" width="17.5703125" customWidth="1"/>
    <col min="9" max="9" width="16.7109375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2" t="s">
        <v>167</v>
      </c>
      <c r="B3" s="212"/>
      <c r="I3" s="212" t="s">
        <v>168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357.88</v>
      </c>
      <c r="C5" s="10">
        <v>243.22</v>
      </c>
      <c r="D5" s="10">
        <v>104.87</v>
      </c>
      <c r="E5" s="10">
        <v>39.33</v>
      </c>
      <c r="F5" s="10">
        <v>745.30000000000007</v>
      </c>
      <c r="I5" s="43" t="s">
        <v>4</v>
      </c>
      <c r="J5" s="10">
        <v>2514</v>
      </c>
      <c r="K5" s="10">
        <v>2650.27</v>
      </c>
      <c r="L5" s="10">
        <v>474.47500000000002</v>
      </c>
      <c r="M5" s="10">
        <v>195.077</v>
      </c>
      <c r="N5" s="10">
        <v>5833.822000000001</v>
      </c>
    </row>
    <row r="6" spans="1:14" x14ac:dyDescent="0.25">
      <c r="A6" s="43" t="s">
        <v>43</v>
      </c>
      <c r="B6" s="10">
        <v>0.99</v>
      </c>
      <c r="C6" s="10">
        <v>0</v>
      </c>
      <c r="D6" s="10">
        <v>0</v>
      </c>
      <c r="E6" s="10">
        <v>0</v>
      </c>
      <c r="F6" s="10">
        <v>0.99</v>
      </c>
      <c r="I6" s="43" t="s">
        <v>43</v>
      </c>
      <c r="J6" s="10">
        <v>36.11</v>
      </c>
      <c r="K6" s="10">
        <v>0.05</v>
      </c>
      <c r="L6" s="10">
        <v>0</v>
      </c>
      <c r="M6" s="10">
        <v>0.04</v>
      </c>
      <c r="N6" s="10">
        <v>36.199999999999996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9.81</v>
      </c>
      <c r="C8" s="10">
        <v>1.25</v>
      </c>
      <c r="D8" s="10">
        <v>1.1499999999999999</v>
      </c>
      <c r="E8" s="10">
        <v>0</v>
      </c>
      <c r="F8" s="10">
        <v>12.21</v>
      </c>
      <c r="I8" s="43" t="s">
        <v>14</v>
      </c>
      <c r="J8" s="10">
        <v>386.15499999999997</v>
      </c>
      <c r="K8" s="10">
        <v>96.58</v>
      </c>
      <c r="L8" s="10">
        <v>37.409999999999997</v>
      </c>
      <c r="M8" s="10">
        <v>18.48</v>
      </c>
      <c r="N8" s="10">
        <v>538.625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I10" s="43" t="s">
        <v>39</v>
      </c>
      <c r="J10" s="10">
        <v>58.22</v>
      </c>
      <c r="K10" s="10">
        <v>33.92</v>
      </c>
      <c r="L10" s="10">
        <v>8.27</v>
      </c>
      <c r="M10" s="10">
        <v>0.24</v>
      </c>
      <c r="N10" s="10">
        <v>100.64999999999999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</v>
      </c>
      <c r="C12" s="10">
        <v>0</v>
      </c>
      <c r="D12" s="10">
        <v>0.04</v>
      </c>
      <c r="E12" s="10">
        <v>0</v>
      </c>
      <c r="F12" s="10">
        <v>0.04</v>
      </c>
      <c r="I12" s="43" t="s">
        <v>19</v>
      </c>
      <c r="J12" s="10">
        <v>424.59</v>
      </c>
      <c r="K12" s="10">
        <v>56</v>
      </c>
      <c r="L12" s="10">
        <v>32.01</v>
      </c>
      <c r="M12" s="10">
        <v>13.08</v>
      </c>
      <c r="N12" s="10">
        <v>525.68000000000006</v>
      </c>
    </row>
    <row r="13" spans="1:14" x14ac:dyDescent="0.25">
      <c r="A13" s="43" t="s">
        <v>23</v>
      </c>
      <c r="B13" s="10">
        <v>6.1</v>
      </c>
      <c r="C13" s="10">
        <v>0.09</v>
      </c>
      <c r="D13" s="10">
        <v>0</v>
      </c>
      <c r="E13" s="10">
        <v>0.13</v>
      </c>
      <c r="F13" s="10">
        <v>6.3199999999999994</v>
      </c>
      <c r="I13" s="43" t="s">
        <v>23</v>
      </c>
      <c r="J13" s="10">
        <v>1.32</v>
      </c>
      <c r="K13" s="10">
        <v>0</v>
      </c>
      <c r="L13" s="10">
        <v>0</v>
      </c>
      <c r="M13" s="10">
        <v>7.0000000000000007E-2</v>
      </c>
      <c r="N13" s="10">
        <v>1.3900000000000001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0.26500000000000001</v>
      </c>
      <c r="C15" s="10">
        <v>0</v>
      </c>
      <c r="D15" s="10">
        <v>0</v>
      </c>
      <c r="E15" s="10">
        <v>0</v>
      </c>
      <c r="F15" s="10">
        <v>0.26500000000000001</v>
      </c>
      <c r="I15" s="43" t="s">
        <v>160</v>
      </c>
      <c r="J15" s="10">
        <v>5.2549999999999999</v>
      </c>
      <c r="K15" s="10">
        <v>0</v>
      </c>
      <c r="L15" s="10">
        <v>0</v>
      </c>
      <c r="M15" s="10">
        <v>0.05</v>
      </c>
      <c r="N15" s="10">
        <v>5.3049999999999997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6.77</v>
      </c>
      <c r="C17" s="10">
        <v>0</v>
      </c>
      <c r="D17" s="10">
        <v>0</v>
      </c>
      <c r="E17" s="10">
        <v>0</v>
      </c>
      <c r="F17" s="10">
        <v>6.77</v>
      </c>
      <c r="I17" s="43" t="s">
        <v>89</v>
      </c>
      <c r="J17" s="10">
        <v>83.18</v>
      </c>
      <c r="K17" s="10">
        <v>0</v>
      </c>
      <c r="L17" s="10">
        <v>0</v>
      </c>
      <c r="M17" s="10">
        <v>0</v>
      </c>
      <c r="N17" s="10">
        <v>83.18</v>
      </c>
    </row>
    <row r="18" spans="1:14" x14ac:dyDescent="0.25">
      <c r="A18" s="43" t="s">
        <v>32</v>
      </c>
      <c r="B18" s="10">
        <v>127.418333333333</v>
      </c>
      <c r="C18" s="10">
        <v>87.82</v>
      </c>
      <c r="D18" s="10">
        <v>14.105</v>
      </c>
      <c r="E18" s="10">
        <v>23.05</v>
      </c>
      <c r="F18" s="10">
        <v>252.393333333333</v>
      </c>
      <c r="I18" s="43" t="s">
        <v>32</v>
      </c>
      <c r="J18" s="10">
        <v>1872.92</v>
      </c>
      <c r="K18" s="10">
        <v>735.78499999999894</v>
      </c>
      <c r="L18" s="10">
        <v>204.1</v>
      </c>
      <c r="M18" s="10">
        <v>52.24</v>
      </c>
      <c r="N18" s="10">
        <v>2865.0449999999987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1.71</v>
      </c>
      <c r="K19" s="10">
        <v>0</v>
      </c>
      <c r="L19" s="10">
        <v>0</v>
      </c>
      <c r="M19" s="10">
        <v>0</v>
      </c>
      <c r="N19" s="10">
        <v>1.71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509.23333333333301</v>
      </c>
      <c r="C21" s="126">
        <v>332.38</v>
      </c>
      <c r="D21" s="126">
        <v>120.16500000000001</v>
      </c>
      <c r="E21" s="126">
        <v>62.51</v>
      </c>
      <c r="F21" s="126">
        <v>1024.288333333333</v>
      </c>
      <c r="I21" s="44" t="s">
        <v>33</v>
      </c>
      <c r="J21" s="126">
        <v>5383.46</v>
      </c>
      <c r="K21" s="126">
        <v>3572.605</v>
      </c>
      <c r="L21" s="126">
        <v>756.26499999999999</v>
      </c>
      <c r="M21" s="126">
        <v>279.27699999999999</v>
      </c>
      <c r="N21" s="126">
        <v>9991.607</v>
      </c>
    </row>
    <row r="24" spans="1:14" ht="15.75" x14ac:dyDescent="0.25">
      <c r="A24" s="212" t="s">
        <v>169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2871.88</v>
      </c>
      <c r="C26" s="10">
        <v>2893.49</v>
      </c>
      <c r="D26" s="10">
        <v>579.34500000000003</v>
      </c>
      <c r="E26" s="10">
        <v>234.40700000000001</v>
      </c>
      <c r="F26" s="10">
        <v>6579.1220000000003</v>
      </c>
    </row>
    <row r="27" spans="1:14" x14ac:dyDescent="0.25">
      <c r="A27" s="43" t="s">
        <v>43</v>
      </c>
      <c r="B27" s="10">
        <v>37.1</v>
      </c>
      <c r="C27" s="10">
        <v>0.05</v>
      </c>
      <c r="D27" s="10">
        <v>0</v>
      </c>
      <c r="E27" s="10">
        <v>0.04</v>
      </c>
      <c r="F27" s="10">
        <v>37.19</v>
      </c>
    </row>
    <row r="28" spans="1:14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14" x14ac:dyDescent="0.25">
      <c r="A29" s="43" t="s">
        <v>14</v>
      </c>
      <c r="B29" s="10">
        <v>395.96499999999997</v>
      </c>
      <c r="C29" s="10">
        <v>97.83</v>
      </c>
      <c r="D29" s="10">
        <v>38.56</v>
      </c>
      <c r="E29" s="10">
        <v>18.48</v>
      </c>
      <c r="F29" s="10">
        <v>550.83500000000004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58.22</v>
      </c>
      <c r="C31" s="10">
        <v>33.92</v>
      </c>
      <c r="D31" s="10">
        <v>8.27</v>
      </c>
      <c r="E31" s="10">
        <v>0.24</v>
      </c>
      <c r="F31" s="10">
        <v>100.64999999999999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7" x14ac:dyDescent="0.25">
      <c r="A33" s="43" t="s">
        <v>19</v>
      </c>
      <c r="B33" s="10">
        <v>424.59</v>
      </c>
      <c r="C33" s="10">
        <v>56</v>
      </c>
      <c r="D33" s="10">
        <v>32.049999999999997</v>
      </c>
      <c r="E33" s="10">
        <v>13.08</v>
      </c>
      <c r="F33" s="10">
        <v>525.72</v>
      </c>
    </row>
    <row r="34" spans="1:7" x14ac:dyDescent="0.25">
      <c r="A34" s="43" t="s">
        <v>23</v>
      </c>
      <c r="B34" s="10">
        <v>7.42</v>
      </c>
      <c r="C34" s="10">
        <v>0.09</v>
      </c>
      <c r="D34" s="10">
        <v>0</v>
      </c>
      <c r="E34" s="10">
        <v>0.2</v>
      </c>
      <c r="F34" s="10">
        <v>7.71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7" x14ac:dyDescent="0.25">
      <c r="A36" s="43" t="s">
        <v>160</v>
      </c>
      <c r="B36" s="10">
        <v>5.52</v>
      </c>
      <c r="C36" s="10">
        <v>0</v>
      </c>
      <c r="D36" s="10">
        <v>0</v>
      </c>
      <c r="E36" s="10">
        <v>0.05</v>
      </c>
      <c r="F36" s="10">
        <v>5.5699999999999994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89.95</v>
      </c>
      <c r="C38" s="10">
        <v>0</v>
      </c>
      <c r="D38" s="10">
        <v>0</v>
      </c>
      <c r="E38" s="10">
        <v>0</v>
      </c>
      <c r="F38" s="10">
        <v>89.95</v>
      </c>
    </row>
    <row r="39" spans="1:7" x14ac:dyDescent="0.25">
      <c r="A39" s="43" t="s">
        <v>32</v>
      </c>
      <c r="B39" s="10">
        <v>2000.33833333333</v>
      </c>
      <c r="C39" s="10">
        <v>823.60500000000002</v>
      </c>
      <c r="D39" s="10">
        <v>218.20500000000001</v>
      </c>
      <c r="E39" s="10">
        <v>75.290000000000006</v>
      </c>
      <c r="F39" s="10">
        <v>3117.4383333333299</v>
      </c>
    </row>
    <row r="40" spans="1:7" x14ac:dyDescent="0.25">
      <c r="A40" s="43" t="s">
        <v>90</v>
      </c>
      <c r="B40" s="10">
        <v>1.71</v>
      </c>
      <c r="C40" s="10">
        <v>0</v>
      </c>
      <c r="D40" s="10">
        <v>0</v>
      </c>
      <c r="E40" s="10">
        <v>0</v>
      </c>
      <c r="F40" s="10">
        <v>1.71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5892.69333333333</v>
      </c>
      <c r="C42" s="126">
        <v>3904.9850000000001</v>
      </c>
      <c r="D42" s="126">
        <v>876.43</v>
      </c>
      <c r="E42" s="126">
        <v>341.78699999999998</v>
      </c>
      <c r="F42" s="126">
        <v>11015.89533333333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0.43651417316778746</v>
      </c>
      <c r="C46" s="19">
        <f t="shared" ref="C46:F46" si="0">IFERROR(C26/$F26,"")</f>
        <v>0.43979880598049398</v>
      </c>
      <c r="D46" s="19">
        <f t="shared" si="0"/>
        <v>8.8058102585724968E-2</v>
      </c>
      <c r="E46" s="19">
        <f t="shared" si="0"/>
        <v>3.5628918265993549E-2</v>
      </c>
      <c r="F46" s="19">
        <f t="shared" si="0"/>
        <v>1</v>
      </c>
      <c r="G46" s="19">
        <f>IFERROR(F26/$F$42,"")</f>
        <v>0.59723897158790507</v>
      </c>
    </row>
    <row r="47" spans="1:7" x14ac:dyDescent="0.25">
      <c r="A47" s="43" t="s">
        <v>43</v>
      </c>
      <c r="B47" s="19">
        <f t="shared" ref="B47:F62" si="1">IFERROR(B27/$F27,"")</f>
        <v>0.99757999462221036</v>
      </c>
      <c r="C47" s="19">
        <f t="shared" si="1"/>
        <v>1.3444474321054048E-3</v>
      </c>
      <c r="D47" s="19">
        <f t="shared" si="1"/>
        <v>0</v>
      </c>
      <c r="E47" s="19">
        <f t="shared" si="1"/>
        <v>1.0755579456843238E-3</v>
      </c>
      <c r="F47" s="19">
        <f t="shared" si="1"/>
        <v>1</v>
      </c>
      <c r="G47" s="19">
        <f t="shared" ref="G47:G61" si="2">IFERROR(F27/$F$42,"")</f>
        <v>3.3760306243529434E-3</v>
      </c>
    </row>
    <row r="48" spans="1:7" x14ac:dyDescent="0.25">
      <c r="A48" s="43" t="s">
        <v>13</v>
      </c>
      <c r="B48" s="19" t="str">
        <f t="shared" si="1"/>
        <v/>
      </c>
      <c r="C48" s="19" t="str">
        <f t="shared" si="1"/>
        <v/>
      </c>
      <c r="D48" s="19" t="str">
        <f t="shared" si="1"/>
        <v/>
      </c>
      <c r="E48" s="19" t="str">
        <f t="shared" si="1"/>
        <v/>
      </c>
      <c r="F48" s="19" t="str">
        <f t="shared" si="1"/>
        <v/>
      </c>
      <c r="G48" s="19">
        <f t="shared" si="2"/>
        <v>0</v>
      </c>
    </row>
    <row r="49" spans="1:7" x14ac:dyDescent="0.25">
      <c r="A49" s="43" t="s">
        <v>14</v>
      </c>
      <c r="B49" s="19">
        <f t="shared" si="1"/>
        <v>0.71884502618751522</v>
      </c>
      <c r="C49" s="19">
        <f t="shared" si="1"/>
        <v>0.17760309348534495</v>
      </c>
      <c r="D49" s="19">
        <f t="shared" si="1"/>
        <v>7.0002813909791503E-2</v>
      </c>
      <c r="E49" s="19">
        <f t="shared" si="1"/>
        <v>3.3549066417348207E-2</v>
      </c>
      <c r="F49" s="19">
        <f t="shared" si="1"/>
        <v>1</v>
      </c>
      <c r="G49" s="19">
        <f t="shared" si="2"/>
        <v>5.0003652298076198E-2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0.57844013909587688</v>
      </c>
      <c r="C51" s="19">
        <f t="shared" si="1"/>
        <v>0.33700943864878297</v>
      </c>
      <c r="D51" s="19">
        <f t="shared" si="1"/>
        <v>8.2165921510183815E-2</v>
      </c>
      <c r="E51" s="19">
        <f t="shared" si="1"/>
        <v>2.3845007451564829E-3</v>
      </c>
      <c r="F51" s="19">
        <f t="shared" si="1"/>
        <v>1</v>
      </c>
      <c r="G51" s="19">
        <f t="shared" si="2"/>
        <v>9.1367970513881076E-3</v>
      </c>
    </row>
    <row r="52" spans="1:7" x14ac:dyDescent="0.25">
      <c r="A52" s="43" t="s">
        <v>18</v>
      </c>
      <c r="B52" s="19" t="str">
        <f t="shared" si="1"/>
        <v/>
      </c>
      <c r="C52" s="19" t="str">
        <f t="shared" si="1"/>
        <v/>
      </c>
      <c r="D52" s="19" t="str">
        <f t="shared" si="1"/>
        <v/>
      </c>
      <c r="E52" s="19" t="str">
        <f t="shared" si="1"/>
        <v/>
      </c>
      <c r="F52" s="19" t="str">
        <f t="shared" si="1"/>
        <v/>
      </c>
      <c r="G52" s="19">
        <f t="shared" si="2"/>
        <v>0</v>
      </c>
    </row>
    <row r="53" spans="1:7" x14ac:dyDescent="0.25">
      <c r="A53" s="43" t="s">
        <v>19</v>
      </c>
      <c r="B53" s="19">
        <f t="shared" si="1"/>
        <v>0.80763524309518364</v>
      </c>
      <c r="C53" s="19">
        <f t="shared" si="1"/>
        <v>0.10652058129802937</v>
      </c>
      <c r="D53" s="19">
        <f t="shared" si="1"/>
        <v>6.0964011260747158E-2</v>
      </c>
      <c r="E53" s="19">
        <f t="shared" si="1"/>
        <v>2.4880164346039717E-2</v>
      </c>
      <c r="F53" s="19">
        <f t="shared" si="1"/>
        <v>1</v>
      </c>
      <c r="G53" s="19">
        <f t="shared" si="2"/>
        <v>4.772376498614761E-2</v>
      </c>
    </row>
    <row r="54" spans="1:7" x14ac:dyDescent="0.25">
      <c r="A54" s="43" t="s">
        <v>23</v>
      </c>
      <c r="B54" s="19">
        <f t="shared" si="1"/>
        <v>0.96238651102464334</v>
      </c>
      <c r="C54" s="19">
        <f t="shared" si="1"/>
        <v>1.1673151750972763E-2</v>
      </c>
      <c r="D54" s="19">
        <f t="shared" si="1"/>
        <v>0</v>
      </c>
      <c r="E54" s="19">
        <f t="shared" si="1"/>
        <v>2.5940337224383919E-2</v>
      </c>
      <c r="F54" s="19">
        <f t="shared" si="1"/>
        <v>1</v>
      </c>
      <c r="G54" s="19">
        <f t="shared" si="2"/>
        <v>6.9989771749828431E-4</v>
      </c>
    </row>
    <row r="55" spans="1:7" x14ac:dyDescent="0.25">
      <c r="A55" s="43" t="s">
        <v>26</v>
      </c>
      <c r="B55" s="19" t="str">
        <f t="shared" si="1"/>
        <v/>
      </c>
      <c r="C55" s="19" t="str">
        <f t="shared" si="1"/>
        <v/>
      </c>
      <c r="D55" s="19" t="str">
        <f t="shared" si="1"/>
        <v/>
      </c>
      <c r="E55" s="19" t="str">
        <f t="shared" si="1"/>
        <v/>
      </c>
      <c r="F55" s="19" t="str">
        <f t="shared" si="1"/>
        <v/>
      </c>
      <c r="G55" s="19">
        <f t="shared" si="2"/>
        <v>0</v>
      </c>
    </row>
    <row r="56" spans="1:7" x14ac:dyDescent="0.25">
      <c r="A56" s="43" t="s">
        <v>160</v>
      </c>
      <c r="B56" s="19">
        <f t="shared" si="1"/>
        <v>0.99102333931777387</v>
      </c>
      <c r="C56" s="19">
        <f t="shared" si="1"/>
        <v>0</v>
      </c>
      <c r="D56" s="19">
        <f t="shared" si="1"/>
        <v>0</v>
      </c>
      <c r="E56" s="19">
        <f t="shared" si="1"/>
        <v>8.9766606822262139E-3</v>
      </c>
      <c r="F56" s="19">
        <f t="shared" si="1"/>
        <v>1</v>
      </c>
      <c r="G56" s="19">
        <f t="shared" si="2"/>
        <v>5.0563298138332595E-4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>
        <f t="shared" si="1"/>
        <v>1</v>
      </c>
      <c r="C58" s="19">
        <f t="shared" si="1"/>
        <v>0</v>
      </c>
      <c r="D58" s="19">
        <f t="shared" si="1"/>
        <v>0</v>
      </c>
      <c r="E58" s="19">
        <f t="shared" si="1"/>
        <v>0</v>
      </c>
      <c r="F58" s="19">
        <f t="shared" si="1"/>
        <v>1</v>
      </c>
      <c r="G58" s="19">
        <f t="shared" si="2"/>
        <v>8.165473370813317E-3</v>
      </c>
    </row>
    <row r="59" spans="1:7" x14ac:dyDescent="0.25">
      <c r="A59" s="43" t="s">
        <v>32</v>
      </c>
      <c r="B59" s="19">
        <f t="shared" si="1"/>
        <v>0.64166091497131961</v>
      </c>
      <c r="C59" s="19">
        <f t="shared" si="1"/>
        <v>0.26419287630923499</v>
      </c>
      <c r="D59" s="19">
        <f t="shared" si="1"/>
        <v>6.9994969160042275E-2</v>
      </c>
      <c r="E59" s="19">
        <f t="shared" si="1"/>
        <v>2.4151239559403237E-2</v>
      </c>
      <c r="F59" s="19">
        <f t="shared" si="1"/>
        <v>1</v>
      </c>
      <c r="G59" s="19">
        <f t="shared" si="2"/>
        <v>0.28299454914937139</v>
      </c>
    </row>
    <row r="60" spans="1:7" x14ac:dyDescent="0.25">
      <c r="A60" s="43" t="s">
        <v>90</v>
      </c>
      <c r="B60" s="19">
        <f t="shared" si="1"/>
        <v>1</v>
      </c>
      <c r="C60" s="19">
        <f t="shared" si="1"/>
        <v>0</v>
      </c>
      <c r="D60" s="19">
        <f t="shared" si="1"/>
        <v>0</v>
      </c>
      <c r="E60" s="19">
        <f t="shared" si="1"/>
        <v>0</v>
      </c>
      <c r="F60" s="19">
        <f t="shared" si="1"/>
        <v>1</v>
      </c>
      <c r="G60" s="19">
        <f t="shared" si="2"/>
        <v>1.5523023306382181E-4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 t="shared" si="1"/>
        <v>0.53492640906839872</v>
      </c>
      <c r="C62" s="46">
        <f t="shared" si="1"/>
        <v>0.35448639278405164</v>
      </c>
      <c r="D62" s="46">
        <f t="shared" si="1"/>
        <v>7.956048723048266E-2</v>
      </c>
      <c r="E62" s="46">
        <f t="shared" si="1"/>
        <v>3.1026710917066939E-2</v>
      </c>
      <c r="F62" s="46">
        <f t="shared" si="1"/>
        <v>1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1" sqref="F1:G1"/>
    </sheetView>
  </sheetViews>
  <sheetFormatPr baseColWidth="10" defaultRowHeight="15" x14ac:dyDescent="0.25"/>
  <cols>
    <col min="1" max="1" width="17.85546875" customWidth="1"/>
    <col min="9" max="9" width="18.7109375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2" t="s">
        <v>171</v>
      </c>
      <c r="B3" s="212"/>
      <c r="I3" s="212" t="s">
        <v>172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66.16</v>
      </c>
      <c r="C5" s="10">
        <v>23.17</v>
      </c>
      <c r="D5" s="10">
        <v>26.66</v>
      </c>
      <c r="E5" s="10">
        <v>76.69</v>
      </c>
      <c r="F5" s="10">
        <v>192.68</v>
      </c>
      <c r="I5" s="43" t="s">
        <v>4</v>
      </c>
      <c r="J5" s="10">
        <v>2621.31</v>
      </c>
      <c r="K5" s="10">
        <v>1356.37</v>
      </c>
      <c r="L5" s="10">
        <v>228.9</v>
      </c>
      <c r="M5" s="10">
        <v>154.52000000000001</v>
      </c>
      <c r="N5" s="10">
        <v>4361.1000000000004</v>
      </c>
    </row>
    <row r="6" spans="1:14" x14ac:dyDescent="0.25">
      <c r="A6" s="43" t="s">
        <v>43</v>
      </c>
      <c r="B6" s="10">
        <v>0</v>
      </c>
      <c r="C6" s="10">
        <v>0</v>
      </c>
      <c r="D6" s="10">
        <v>0.03</v>
      </c>
      <c r="E6" s="10">
        <v>0</v>
      </c>
      <c r="F6" s="10">
        <v>0.03</v>
      </c>
      <c r="I6" s="43" t="s">
        <v>43</v>
      </c>
      <c r="J6" s="10">
        <v>11.78</v>
      </c>
      <c r="K6" s="10">
        <v>1</v>
      </c>
      <c r="L6" s="10">
        <v>0</v>
      </c>
      <c r="M6" s="10">
        <v>0</v>
      </c>
      <c r="N6" s="10">
        <v>12.78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10.33</v>
      </c>
      <c r="C8" s="10">
        <v>17.39</v>
      </c>
      <c r="D8" s="10">
        <v>2.97</v>
      </c>
      <c r="E8" s="10">
        <v>2.17</v>
      </c>
      <c r="F8" s="10">
        <v>32.86</v>
      </c>
      <c r="I8" s="43" t="s">
        <v>14</v>
      </c>
      <c r="J8" s="10">
        <v>7484.5299999999897</v>
      </c>
      <c r="K8" s="10">
        <v>3701.06</v>
      </c>
      <c r="L8" s="10">
        <v>1260.29999999999</v>
      </c>
      <c r="M8" s="10">
        <v>769.75999999999794</v>
      </c>
      <c r="N8" s="10">
        <v>13215.649999999978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I10" s="43" t="s">
        <v>39</v>
      </c>
      <c r="J10" s="10">
        <v>16.32</v>
      </c>
      <c r="K10" s="10">
        <v>73.39</v>
      </c>
      <c r="L10" s="10">
        <v>0.33</v>
      </c>
      <c r="M10" s="10">
        <v>0</v>
      </c>
      <c r="N10" s="10">
        <v>90.04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</v>
      </c>
      <c r="C12" s="10">
        <v>0</v>
      </c>
      <c r="D12" s="10">
        <v>0</v>
      </c>
      <c r="E12" s="10">
        <v>0.16</v>
      </c>
      <c r="F12" s="10">
        <v>0.16</v>
      </c>
      <c r="I12" s="43" t="s">
        <v>19</v>
      </c>
      <c r="J12" s="10">
        <v>156.30000000000001</v>
      </c>
      <c r="K12" s="10">
        <v>61.78</v>
      </c>
      <c r="L12" s="10">
        <v>41.83</v>
      </c>
      <c r="M12" s="10">
        <v>27.61</v>
      </c>
      <c r="N12" s="10">
        <v>287.52000000000004</v>
      </c>
    </row>
    <row r="13" spans="1:14" x14ac:dyDescent="0.25">
      <c r="A13" s="43" t="s">
        <v>23</v>
      </c>
      <c r="B13" s="10">
        <v>0.88</v>
      </c>
      <c r="C13" s="10">
        <v>0</v>
      </c>
      <c r="D13" s="10">
        <v>0</v>
      </c>
      <c r="E13" s="10">
        <v>0</v>
      </c>
      <c r="F13" s="10">
        <v>0.88</v>
      </c>
      <c r="I13" s="43" t="s">
        <v>23</v>
      </c>
      <c r="J13" s="10">
        <v>0.06</v>
      </c>
      <c r="K13" s="10">
        <v>0</v>
      </c>
      <c r="L13" s="10">
        <v>0</v>
      </c>
      <c r="M13" s="10">
        <v>0</v>
      </c>
      <c r="N13" s="10">
        <v>0.06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0.46</v>
      </c>
      <c r="C15" s="10">
        <v>0.14000000000000001</v>
      </c>
      <c r="D15" s="10">
        <v>0</v>
      </c>
      <c r="E15" s="10">
        <v>0.11</v>
      </c>
      <c r="F15" s="10">
        <v>0.71000000000000008</v>
      </c>
      <c r="I15" s="43" t="s">
        <v>160</v>
      </c>
      <c r="J15" s="10">
        <v>1.19</v>
      </c>
      <c r="K15" s="10">
        <v>0.88</v>
      </c>
      <c r="L15" s="10">
        <v>0.17</v>
      </c>
      <c r="M15" s="10">
        <v>0.35</v>
      </c>
      <c r="N15" s="10">
        <v>2.59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I17" s="43" t="s">
        <v>89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5">
      <c r="A18" s="43" t="s">
        <v>32</v>
      </c>
      <c r="B18" s="10">
        <v>3.55</v>
      </c>
      <c r="C18" s="10">
        <v>1.58</v>
      </c>
      <c r="D18" s="10">
        <v>1.1000000000000001</v>
      </c>
      <c r="E18" s="10">
        <v>4.38</v>
      </c>
      <c r="F18" s="10">
        <v>10.61</v>
      </c>
      <c r="I18" s="43" t="s">
        <v>32</v>
      </c>
      <c r="J18" s="10">
        <v>515.37</v>
      </c>
      <c r="K18" s="10">
        <v>343.32</v>
      </c>
      <c r="L18" s="10">
        <v>49.65</v>
      </c>
      <c r="M18" s="10">
        <v>22.94</v>
      </c>
      <c r="N18" s="10">
        <v>931.28000000000009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81.38</v>
      </c>
      <c r="C21" s="126">
        <v>42.28</v>
      </c>
      <c r="D21" s="126">
        <v>30.76</v>
      </c>
      <c r="E21" s="126">
        <v>83.51</v>
      </c>
      <c r="F21" s="126">
        <v>237.93</v>
      </c>
      <c r="I21" s="44" t="s">
        <v>33</v>
      </c>
      <c r="J21" s="126">
        <v>10806.86</v>
      </c>
      <c r="K21" s="126">
        <v>5537.8</v>
      </c>
      <c r="L21" s="126">
        <v>1581.18</v>
      </c>
      <c r="M21" s="126">
        <v>975.18</v>
      </c>
      <c r="N21" s="126">
        <v>18901.02</v>
      </c>
    </row>
    <row r="24" spans="1:14" ht="15.75" x14ac:dyDescent="0.25">
      <c r="A24" s="212" t="s">
        <v>170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2687.47</v>
      </c>
      <c r="C26" s="10">
        <v>1379.54</v>
      </c>
      <c r="D26" s="10">
        <v>255.56</v>
      </c>
      <c r="E26" s="10">
        <v>231.21</v>
      </c>
      <c r="F26" s="10">
        <v>4553.78</v>
      </c>
    </row>
    <row r="27" spans="1:14" x14ac:dyDescent="0.25">
      <c r="A27" s="43" t="s">
        <v>43</v>
      </c>
      <c r="B27" s="10">
        <v>11.78</v>
      </c>
      <c r="C27" s="10">
        <v>1</v>
      </c>
      <c r="D27" s="10">
        <v>0.03</v>
      </c>
      <c r="E27" s="10">
        <v>0</v>
      </c>
      <c r="F27" s="10">
        <v>12.809999999999999</v>
      </c>
    </row>
    <row r="28" spans="1:14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14" x14ac:dyDescent="0.25">
      <c r="A29" s="43" t="s">
        <v>14</v>
      </c>
      <c r="B29" s="10">
        <v>7494.86</v>
      </c>
      <c r="C29" s="10">
        <v>3718.45</v>
      </c>
      <c r="D29" s="10">
        <v>1263.27</v>
      </c>
      <c r="E29" s="10">
        <v>771.93</v>
      </c>
      <c r="F29" s="10">
        <v>13248.51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16.32</v>
      </c>
      <c r="C31" s="10">
        <v>73.39</v>
      </c>
      <c r="D31" s="10">
        <v>0.33</v>
      </c>
      <c r="E31" s="10">
        <v>0</v>
      </c>
      <c r="F31" s="10">
        <v>90.04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7" x14ac:dyDescent="0.25">
      <c r="A33" s="43" t="s">
        <v>19</v>
      </c>
      <c r="B33" s="10">
        <v>156.30000000000001</v>
      </c>
      <c r="C33" s="10">
        <v>61.78</v>
      </c>
      <c r="D33" s="10">
        <v>41.83</v>
      </c>
      <c r="E33" s="10">
        <v>27.77</v>
      </c>
      <c r="F33" s="10">
        <v>287.68</v>
      </c>
    </row>
    <row r="34" spans="1:7" x14ac:dyDescent="0.25">
      <c r="A34" s="43" t="s">
        <v>23</v>
      </c>
      <c r="B34" s="10">
        <v>0.94</v>
      </c>
      <c r="C34" s="10">
        <v>0</v>
      </c>
      <c r="D34" s="10">
        <v>0</v>
      </c>
      <c r="E34" s="10">
        <v>0</v>
      </c>
      <c r="F34" s="10">
        <v>0.94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7" x14ac:dyDescent="0.25">
      <c r="A36" s="43" t="s">
        <v>160</v>
      </c>
      <c r="B36" s="10">
        <v>1.65</v>
      </c>
      <c r="C36" s="10">
        <v>1.02</v>
      </c>
      <c r="D36" s="10">
        <v>0.17</v>
      </c>
      <c r="E36" s="10">
        <v>0.46</v>
      </c>
      <c r="F36" s="10">
        <v>3.3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7" x14ac:dyDescent="0.25">
      <c r="A39" s="43" t="s">
        <v>32</v>
      </c>
      <c r="B39" s="10">
        <v>518.91999999999996</v>
      </c>
      <c r="C39" s="10">
        <v>344.9</v>
      </c>
      <c r="D39" s="10">
        <v>50.75</v>
      </c>
      <c r="E39" s="10">
        <v>27.32</v>
      </c>
      <c r="F39" s="10">
        <v>941.89</v>
      </c>
    </row>
    <row r="40" spans="1:7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10888.24</v>
      </c>
      <c r="C42" s="126">
        <v>5580.08</v>
      </c>
      <c r="D42" s="126">
        <v>1611.94</v>
      </c>
      <c r="E42" s="126">
        <v>1058.69</v>
      </c>
      <c r="F42" s="126">
        <v>19138.949999999997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0.59016245844111925</v>
      </c>
      <c r="C46" s="19">
        <f t="shared" ref="C46:F46" si="0">IFERROR(C26/$F26,"")</f>
        <v>0.30294392790165536</v>
      </c>
      <c r="D46" s="19">
        <f t="shared" si="0"/>
        <v>5.6120409857305362E-2</v>
      </c>
      <c r="E46" s="19">
        <f t="shared" si="0"/>
        <v>5.0773203799920071E-2</v>
      </c>
      <c r="F46" s="19">
        <f t="shared" si="0"/>
        <v>1</v>
      </c>
      <c r="G46" s="19">
        <f>IFERROR(F26/$F$42,"")</f>
        <v>0.23793259295833891</v>
      </c>
    </row>
    <row r="47" spans="1:7" x14ac:dyDescent="0.25">
      <c r="A47" s="43" t="s">
        <v>43</v>
      </c>
      <c r="B47" s="19">
        <f t="shared" ref="B47:F62" si="1">IFERROR(B27/$F27,"")</f>
        <v>0.91959406713505076</v>
      </c>
      <c r="C47" s="19">
        <f t="shared" si="1"/>
        <v>7.8064012490242002E-2</v>
      </c>
      <c r="D47" s="19">
        <f t="shared" si="1"/>
        <v>2.34192037470726E-3</v>
      </c>
      <c r="E47" s="19">
        <f t="shared" si="1"/>
        <v>0</v>
      </c>
      <c r="F47" s="19">
        <f t="shared" si="1"/>
        <v>1</v>
      </c>
      <c r="G47" s="19">
        <f t="shared" ref="G47:G61" si="2">IFERROR(F27/$F$42,"")</f>
        <v>6.6931571481194116E-4</v>
      </c>
    </row>
    <row r="48" spans="1:7" x14ac:dyDescent="0.25">
      <c r="A48" s="43" t="s">
        <v>13</v>
      </c>
      <c r="B48" s="19" t="str">
        <f t="shared" si="1"/>
        <v/>
      </c>
      <c r="C48" s="19" t="str">
        <f t="shared" si="1"/>
        <v/>
      </c>
      <c r="D48" s="19" t="str">
        <f t="shared" si="1"/>
        <v/>
      </c>
      <c r="E48" s="19" t="str">
        <f t="shared" si="1"/>
        <v/>
      </c>
      <c r="F48" s="19" t="str">
        <f t="shared" si="1"/>
        <v/>
      </c>
      <c r="G48" s="19">
        <f t="shared" si="2"/>
        <v>0</v>
      </c>
    </row>
    <row r="49" spans="1:7" x14ac:dyDescent="0.25">
      <c r="A49" s="43" t="s">
        <v>14</v>
      </c>
      <c r="B49" s="19">
        <f t="shared" si="1"/>
        <v>0.56571342739674113</v>
      </c>
      <c r="C49" s="19">
        <f t="shared" si="1"/>
        <v>0.28066929790595319</v>
      </c>
      <c r="D49" s="19">
        <f t="shared" si="1"/>
        <v>9.5351854661392108E-2</v>
      </c>
      <c r="E49" s="19">
        <f t="shared" si="1"/>
        <v>5.8265420035913465E-2</v>
      </c>
      <c r="F49" s="19">
        <f t="shared" si="1"/>
        <v>1</v>
      </c>
      <c r="G49" s="19">
        <f t="shared" si="2"/>
        <v>0.69222763004240051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0.18125277654375832</v>
      </c>
      <c r="C51" s="19">
        <f t="shared" si="1"/>
        <v>0.81508218569524649</v>
      </c>
      <c r="D51" s="19">
        <f t="shared" si="1"/>
        <v>3.6650377609951132E-3</v>
      </c>
      <c r="E51" s="19">
        <f t="shared" si="1"/>
        <v>0</v>
      </c>
      <c r="F51" s="19">
        <f t="shared" si="1"/>
        <v>1</v>
      </c>
      <c r="G51" s="19">
        <f t="shared" si="2"/>
        <v>4.7045423077023566E-3</v>
      </c>
    </row>
    <row r="52" spans="1:7" x14ac:dyDescent="0.25">
      <c r="A52" s="43" t="s">
        <v>18</v>
      </c>
      <c r="B52" s="19" t="str">
        <f t="shared" si="1"/>
        <v/>
      </c>
      <c r="C52" s="19" t="str">
        <f t="shared" si="1"/>
        <v/>
      </c>
      <c r="D52" s="19" t="str">
        <f t="shared" si="1"/>
        <v/>
      </c>
      <c r="E52" s="19" t="str">
        <f t="shared" si="1"/>
        <v/>
      </c>
      <c r="F52" s="19" t="str">
        <f t="shared" si="1"/>
        <v/>
      </c>
      <c r="G52" s="19">
        <f t="shared" si="2"/>
        <v>0</v>
      </c>
    </row>
    <row r="53" spans="1:7" x14ac:dyDescent="0.25">
      <c r="A53" s="43" t="s">
        <v>19</v>
      </c>
      <c r="B53" s="19">
        <f t="shared" si="1"/>
        <v>0.5433120133481647</v>
      </c>
      <c r="C53" s="19">
        <f t="shared" si="1"/>
        <v>0.21475250278086763</v>
      </c>
      <c r="D53" s="19">
        <f t="shared" si="1"/>
        <v>0.14540461624026696</v>
      </c>
      <c r="E53" s="19">
        <f t="shared" si="1"/>
        <v>9.6530867630700776E-2</v>
      </c>
      <c r="F53" s="19">
        <f t="shared" si="1"/>
        <v>1</v>
      </c>
      <c r="G53" s="19">
        <f t="shared" si="2"/>
        <v>1.5031127621943734E-2</v>
      </c>
    </row>
    <row r="54" spans="1:7" x14ac:dyDescent="0.25">
      <c r="A54" s="43" t="s">
        <v>23</v>
      </c>
      <c r="B54" s="19">
        <f t="shared" si="1"/>
        <v>1</v>
      </c>
      <c r="C54" s="19">
        <f t="shared" si="1"/>
        <v>0</v>
      </c>
      <c r="D54" s="19">
        <f t="shared" si="1"/>
        <v>0</v>
      </c>
      <c r="E54" s="19">
        <f t="shared" si="1"/>
        <v>0</v>
      </c>
      <c r="F54" s="19">
        <f t="shared" si="1"/>
        <v>1</v>
      </c>
      <c r="G54" s="19">
        <f t="shared" si="2"/>
        <v>4.911450210173495E-5</v>
      </c>
    </row>
    <row r="55" spans="1:7" x14ac:dyDescent="0.25">
      <c r="A55" s="43" t="s">
        <v>26</v>
      </c>
      <c r="B55" s="19" t="str">
        <f t="shared" si="1"/>
        <v/>
      </c>
      <c r="C55" s="19" t="str">
        <f t="shared" si="1"/>
        <v/>
      </c>
      <c r="D55" s="19" t="str">
        <f t="shared" si="1"/>
        <v/>
      </c>
      <c r="E55" s="19" t="str">
        <f t="shared" si="1"/>
        <v/>
      </c>
      <c r="F55" s="19" t="str">
        <f t="shared" si="1"/>
        <v/>
      </c>
      <c r="G55" s="19">
        <f t="shared" si="2"/>
        <v>0</v>
      </c>
    </row>
    <row r="56" spans="1:7" x14ac:dyDescent="0.25">
      <c r="A56" s="43" t="s">
        <v>160</v>
      </c>
      <c r="B56" s="19">
        <f t="shared" si="1"/>
        <v>0.5</v>
      </c>
      <c r="C56" s="19">
        <f t="shared" si="1"/>
        <v>0.30909090909090914</v>
      </c>
      <c r="D56" s="19">
        <f t="shared" si="1"/>
        <v>5.1515151515151521E-2</v>
      </c>
      <c r="E56" s="19">
        <f t="shared" si="1"/>
        <v>0.1393939393939394</v>
      </c>
      <c r="F56" s="19">
        <f t="shared" si="1"/>
        <v>1</v>
      </c>
      <c r="G56" s="19">
        <f t="shared" si="2"/>
        <v>1.7242325205928227E-4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 t="str">
        <f t="shared" si="1"/>
        <v/>
      </c>
      <c r="C58" s="19" t="str">
        <f t="shared" si="1"/>
        <v/>
      </c>
      <c r="D58" s="19" t="str">
        <f t="shared" si="1"/>
        <v/>
      </c>
      <c r="E58" s="19" t="str">
        <f t="shared" si="1"/>
        <v/>
      </c>
      <c r="F58" s="19" t="str">
        <f t="shared" si="1"/>
        <v/>
      </c>
      <c r="G58" s="19">
        <f t="shared" si="2"/>
        <v>0</v>
      </c>
    </row>
    <row r="59" spans="1:7" x14ac:dyDescent="0.25">
      <c r="A59" s="43" t="s">
        <v>32</v>
      </c>
      <c r="B59" s="19">
        <f t="shared" si="1"/>
        <v>0.55093482253766357</v>
      </c>
      <c r="C59" s="19">
        <f t="shared" si="1"/>
        <v>0.36617864081792989</v>
      </c>
      <c r="D59" s="19">
        <f t="shared" si="1"/>
        <v>5.3881026446824999E-2</v>
      </c>
      <c r="E59" s="19">
        <f t="shared" si="1"/>
        <v>2.900551019758146E-2</v>
      </c>
      <c r="F59" s="19">
        <f t="shared" si="1"/>
        <v>1</v>
      </c>
      <c r="G59" s="19">
        <f t="shared" si="2"/>
        <v>4.9213253600641632E-2</v>
      </c>
    </row>
    <row r="60" spans="1:7" x14ac:dyDescent="0.25">
      <c r="A60" s="43" t="s">
        <v>90</v>
      </c>
      <c r="B60" s="19" t="str">
        <f t="shared" si="1"/>
        <v/>
      </c>
      <c r="C60" s="19" t="str">
        <f t="shared" si="1"/>
        <v/>
      </c>
      <c r="D60" s="19" t="str">
        <f t="shared" si="1"/>
        <v/>
      </c>
      <c r="E60" s="19" t="str">
        <f t="shared" si="1"/>
        <v/>
      </c>
      <c r="F60" s="19" t="str">
        <f t="shared" si="1"/>
        <v/>
      </c>
      <c r="G60" s="19">
        <f t="shared" si="2"/>
        <v>0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 t="shared" si="1"/>
        <v>0.56890477272786655</v>
      </c>
      <c r="C62" s="46">
        <f t="shared" si="1"/>
        <v>0.29155622434877571</v>
      </c>
      <c r="D62" s="46">
        <f t="shared" si="1"/>
        <v>8.4223011189224081E-2</v>
      </c>
      <c r="E62" s="46">
        <f t="shared" si="1"/>
        <v>5.5315991734133804E-2</v>
      </c>
      <c r="F62" s="46">
        <f t="shared" si="1"/>
        <v>1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workbookViewId="0">
      <selection activeCell="L55" sqref="L55"/>
    </sheetView>
  </sheetViews>
  <sheetFormatPr baseColWidth="10" defaultRowHeight="15" x14ac:dyDescent="0.25"/>
  <cols>
    <col min="2" max="2" width="28" customWidth="1"/>
    <col min="7" max="7" width="13" customWidth="1"/>
    <col min="8" max="8" width="15" customWidth="1"/>
    <col min="9" max="9" width="13.7109375" customWidth="1"/>
    <col min="11" max="11" width="17.7109375" customWidth="1"/>
  </cols>
  <sheetData>
    <row r="1" spans="2:12" x14ac:dyDescent="0.25">
      <c r="C1" s="30" t="s">
        <v>51</v>
      </c>
      <c r="D1" s="182" t="s">
        <v>52</v>
      </c>
    </row>
    <row r="3" spans="2:12" ht="49.5" customHeight="1" x14ac:dyDescent="0.25">
      <c r="B3" s="201" t="s">
        <v>0</v>
      </c>
      <c r="C3" s="201" t="s">
        <v>197</v>
      </c>
      <c r="D3" s="201"/>
      <c r="E3" s="200" t="s">
        <v>155</v>
      </c>
      <c r="F3" s="200"/>
      <c r="G3" s="200" t="s">
        <v>198</v>
      </c>
      <c r="H3" s="200"/>
      <c r="I3" s="201" t="s">
        <v>199</v>
      </c>
      <c r="J3" s="202"/>
      <c r="K3" s="200" t="s">
        <v>196</v>
      </c>
    </row>
    <row r="4" spans="2:12" x14ac:dyDescent="0.25">
      <c r="B4" s="201"/>
      <c r="C4" s="132">
        <v>2019</v>
      </c>
      <c r="D4" s="133">
        <v>2020</v>
      </c>
      <c r="E4" s="132">
        <v>2019</v>
      </c>
      <c r="F4" s="132">
        <v>2020</v>
      </c>
      <c r="G4" s="133">
        <v>2019</v>
      </c>
      <c r="H4" s="133">
        <v>2020</v>
      </c>
      <c r="I4" s="132" t="s">
        <v>1</v>
      </c>
      <c r="J4" s="161" t="s">
        <v>2</v>
      </c>
      <c r="K4" s="200"/>
    </row>
    <row r="5" spans="2:12" x14ac:dyDescent="0.25">
      <c r="B5" s="8" t="s">
        <v>4</v>
      </c>
      <c r="C5" s="9">
        <f>'NAR-REPR'!B8+'PC-REPR'!B8+'LIM-REPR'!B8+'POM-REPR'!B8</f>
        <v>67243.779999999984</v>
      </c>
      <c r="D5" s="9">
        <f>'NAR-REPR'!C8+'PC-REPR'!C8+'LIM-REPR'!C8+'POM-REPR'!C8</f>
        <v>68467.199999999997</v>
      </c>
      <c r="E5" s="9">
        <f>'NAR-REPR'!D8+'PC-REPR'!D8+'LIM-REPR'!D8+'POM-REPR'!D8</f>
        <v>85163</v>
      </c>
      <c r="F5" s="9">
        <f>'NAR-REPR'!E8+'PC-REPR'!E8+'LIM-REPR'!E8+'POM-REPR'!E8</f>
        <v>86870</v>
      </c>
      <c r="G5" s="23">
        <f>IFERROR(C5/E5,"")</f>
        <v>0.78958914082406662</v>
      </c>
      <c r="H5" s="23">
        <f>IFERROR(D5/F5,"")</f>
        <v>0.78815701623114998</v>
      </c>
      <c r="I5" s="9">
        <f>D5-C5</f>
        <v>1223.4200000000128</v>
      </c>
      <c r="J5" s="162">
        <f>IFERROR((D5/C5)-1,"")</f>
        <v>1.8193801716679392E-2</v>
      </c>
      <c r="K5" s="165">
        <f>IFERROR(H5-G5,"")</f>
        <v>-1.4321245929166393E-3</v>
      </c>
      <c r="L5" s="184">
        <f>D5/C5-1</f>
        <v>1.8193801716679392E-2</v>
      </c>
    </row>
    <row r="6" spans="2:12" x14ac:dyDescent="0.25">
      <c r="B6" s="6" t="s">
        <v>5</v>
      </c>
      <c r="C6" s="28">
        <f>'NAR-REPR'!B9+'PC-REPR'!B9+'LIM-REPR'!B9+'POM-REPR'!B9</f>
        <v>5024.699999999998</v>
      </c>
      <c r="D6" s="28">
        <f>'NAR-REPR'!C9+'PC-REPR'!C9+'LIM-REPR'!C9+'POM-REPR'!C9</f>
        <v>4949.57</v>
      </c>
      <c r="E6" s="28">
        <f>'NAR-REPR'!D9+'PC-REPR'!D9+'LIM-REPR'!D9+'POM-REPR'!D9</f>
        <v>9170</v>
      </c>
      <c r="F6" s="28">
        <f>'NAR-REPR'!E9+'PC-REPR'!E9+'LIM-REPR'!E9+'POM-REPR'!E9</f>
        <v>9323</v>
      </c>
      <c r="G6" s="85">
        <f t="shared" ref="G6:G10" si="0">IFERROR(C6/E6,"")</f>
        <v>0.54794983642311867</v>
      </c>
      <c r="H6" s="85">
        <f t="shared" ref="H6:H10" si="1">IFERROR(D6/F6,"")</f>
        <v>0.5308988523007615</v>
      </c>
      <c r="I6" s="28">
        <f t="shared" ref="I6:I10" si="2">D6-C6</f>
        <v>-75.12999999999829</v>
      </c>
      <c r="J6" s="163">
        <f t="shared" ref="J6:J10" si="3">IFERROR((D6/C6)-1,"")</f>
        <v>-1.495213644595661E-2</v>
      </c>
      <c r="K6" s="166">
        <f t="shared" ref="K6:K47" si="4">IFERROR(H6-G6,"")</f>
        <v>-1.7050984122357171E-2</v>
      </c>
    </row>
    <row r="7" spans="2:12" x14ac:dyDescent="0.25">
      <c r="B7" s="6" t="s">
        <v>6</v>
      </c>
      <c r="C7" s="28">
        <f>'NAR-REPR'!B10+'PC-REPR'!B10+'LIM-REPR'!B10+'POM-REPR'!B10</f>
        <v>1508.5100000000004</v>
      </c>
      <c r="D7" s="28">
        <f>'NAR-REPR'!C10+'PC-REPR'!C10+'LIM-REPR'!C10+'POM-REPR'!C10</f>
        <v>1404.83</v>
      </c>
      <c r="E7" s="28">
        <f>'NAR-REPR'!D10+'PC-REPR'!D10+'LIM-REPR'!D10+'POM-REPR'!D10</f>
        <v>2881</v>
      </c>
      <c r="F7" s="28">
        <f>'NAR-REPR'!E10+'PC-REPR'!E10+'LIM-REPR'!E10+'POM-REPR'!E10</f>
        <v>2881</v>
      </c>
      <c r="G7" s="85">
        <f t="shared" si="0"/>
        <v>0.52360638667129489</v>
      </c>
      <c r="H7" s="85">
        <f t="shared" si="1"/>
        <v>0.48761888233252343</v>
      </c>
      <c r="I7" s="28">
        <f>D7-C7</f>
        <v>-103.68000000000052</v>
      </c>
      <c r="J7" s="163">
        <f t="shared" si="3"/>
        <v>-6.8730071394952907E-2</v>
      </c>
      <c r="K7" s="166">
        <f t="shared" si="4"/>
        <v>-3.5987504338771459E-2</v>
      </c>
    </row>
    <row r="8" spans="2:12" x14ac:dyDescent="0.25">
      <c r="B8" s="6" t="s">
        <v>7</v>
      </c>
      <c r="C8" s="28">
        <f>'NAR-REPR'!B11+'PC-REPR'!B11+'LIM-REPR'!B11+'POM-REPR'!B11</f>
        <v>11955.760000000006</v>
      </c>
      <c r="D8" s="28">
        <f>'NAR-REPR'!C11+'PC-REPR'!C11+'LIM-REPR'!C11+'POM-REPR'!C11</f>
        <v>12097.729999999996</v>
      </c>
      <c r="E8" s="28">
        <f>'NAR-REPR'!D11+'PC-REPR'!D11+'LIM-REPR'!D11+'POM-REPR'!D11</f>
        <v>11961</v>
      </c>
      <c r="F8" s="28">
        <f>'NAR-REPR'!E11+'PC-REPR'!E11+'LIM-REPR'!E11+'POM-REPR'!E11</f>
        <v>12030</v>
      </c>
      <c r="G8" s="85">
        <f t="shared" si="0"/>
        <v>0.99956190953933666</v>
      </c>
      <c r="H8" s="85">
        <f t="shared" si="1"/>
        <v>1.0056300914380711</v>
      </c>
      <c r="I8" s="28">
        <f t="shared" si="2"/>
        <v>141.96999999999025</v>
      </c>
      <c r="J8" s="163">
        <f t="shared" si="3"/>
        <v>1.1874611066129637E-2</v>
      </c>
      <c r="K8" s="166">
        <f t="shared" si="4"/>
        <v>6.0681818987344815E-3</v>
      </c>
    </row>
    <row r="9" spans="2:12" x14ac:dyDescent="0.25">
      <c r="B9" s="6" t="s">
        <v>8</v>
      </c>
      <c r="C9" s="28">
        <f>'NAR-REPR'!B12+'PC-REPR'!B12+'LIM-REPR'!B12+'POM-REPR'!B12</f>
        <v>275.74000000000018</v>
      </c>
      <c r="D9" s="28">
        <f>'NAR-REPR'!C12+'PC-REPR'!C12+'LIM-REPR'!C12+'POM-REPR'!C12</f>
        <v>255.34999999999997</v>
      </c>
      <c r="E9" s="28">
        <f>'NAR-REPR'!D12+'PC-REPR'!D12+'LIM-REPR'!D12+'POM-REPR'!D12</f>
        <v>802</v>
      </c>
      <c r="F9" s="28">
        <f>'NAR-REPR'!E12+'PC-REPR'!E12+'LIM-REPR'!E12+'POM-REPR'!E12</f>
        <v>827</v>
      </c>
      <c r="G9" s="85">
        <f t="shared" si="0"/>
        <v>0.34381546134663366</v>
      </c>
      <c r="H9" s="85">
        <f t="shared" si="1"/>
        <v>0.30876662636033853</v>
      </c>
      <c r="I9" s="28">
        <f t="shared" si="2"/>
        <v>-20.390000000000214</v>
      </c>
      <c r="J9" s="163">
        <f t="shared" si="3"/>
        <v>-7.3946471313557027E-2</v>
      </c>
      <c r="K9" s="166">
        <f t="shared" si="4"/>
        <v>-3.504883498629513E-2</v>
      </c>
    </row>
    <row r="10" spans="2:12" x14ac:dyDescent="0.25">
      <c r="B10" s="6" t="s">
        <v>9</v>
      </c>
      <c r="C10" s="28">
        <f>'NAR-REPR'!B13+'PC-REPR'!B13+'LIM-REPR'!B13+'POM-REPR'!B13</f>
        <v>15681.299999999997</v>
      </c>
      <c r="D10" s="28">
        <f>'NAR-REPR'!C13+'PC-REPR'!C13+'LIM-REPR'!C13+'POM-REPR'!C13</f>
        <v>16108.529999999999</v>
      </c>
      <c r="E10" s="28">
        <f>'NAR-REPR'!D13+'PC-REPR'!D13+'LIM-REPR'!D13+'POM-REPR'!D13</f>
        <v>20576</v>
      </c>
      <c r="F10" s="28">
        <f>'NAR-REPR'!E13+'PC-REPR'!E13+'LIM-REPR'!E13+'POM-REPR'!E13</f>
        <v>20576</v>
      </c>
      <c r="G10" s="85">
        <f t="shared" si="0"/>
        <v>0.76211605754276812</v>
      </c>
      <c r="H10" s="85">
        <f t="shared" si="1"/>
        <v>0.78287956842923789</v>
      </c>
      <c r="I10" s="28">
        <f t="shared" si="2"/>
        <v>427.23000000000138</v>
      </c>
      <c r="J10" s="163">
        <f t="shared" si="3"/>
        <v>2.7244552428689062E-2</v>
      </c>
      <c r="K10" s="166">
        <f t="shared" si="4"/>
        <v>2.0763510886469771E-2</v>
      </c>
    </row>
    <row r="11" spans="2:12" x14ac:dyDescent="0.25">
      <c r="B11" s="6" t="s">
        <v>10</v>
      </c>
      <c r="C11" s="28">
        <f>'NAR-REPR'!B14</f>
        <v>0.56000000000000005</v>
      </c>
      <c r="D11" s="28">
        <f>'NAR-REPR'!C14</f>
        <v>0.66</v>
      </c>
      <c r="E11" s="28">
        <f>'NAR-REPR'!D14</f>
        <v>0</v>
      </c>
      <c r="F11" s="28">
        <f>'NAR-REPR'!E15</f>
        <v>4490</v>
      </c>
      <c r="G11" s="85" t="str">
        <f>IFERROR(C11/E11,"")</f>
        <v/>
      </c>
      <c r="H11" s="85">
        <f t="shared" ref="H11:H47" si="5">IFERROR(D11/F11,"")</f>
        <v>1.469933184855234E-4</v>
      </c>
      <c r="I11" s="28">
        <f t="shared" ref="I11:I47" si="6">D11-C11</f>
        <v>9.9999999999999978E-2</v>
      </c>
      <c r="J11" s="163">
        <f t="shared" ref="J11:J47" si="7">IFERROR((D11/C11)-1,"")</f>
        <v>0.1785714285714286</v>
      </c>
      <c r="K11" s="166" t="str">
        <f t="shared" si="4"/>
        <v/>
      </c>
    </row>
    <row r="12" spans="2:12" x14ac:dyDescent="0.25">
      <c r="B12" s="6" t="s">
        <v>11</v>
      </c>
      <c r="C12" s="28">
        <f>'NAR-REPR'!B15+'PC-REPR'!B14+'LIM-REPR'!B14+'POM-REPR'!B14</f>
        <v>3890.8400000000006</v>
      </c>
      <c r="D12" s="28">
        <f>'NAR-REPR'!C15+'PC-REPR'!C14+'LIM-REPR'!C14+'POM-REPR'!C14</f>
        <v>4051.93</v>
      </c>
      <c r="E12" s="28">
        <f>'NAR-REPR'!D15+'PC-REPR'!D14+'LIM-REPR'!D14+'POM-REPR'!D14</f>
        <v>10915</v>
      </c>
      <c r="F12" s="28">
        <f>'NAR-REPR'!E16+'PC-REPR'!E14+'LIM-REPR'!E14+'POM-REPR'!E14</f>
        <v>32983</v>
      </c>
      <c r="G12" s="85">
        <f t="shared" ref="G12:G47" si="8">IFERROR(C12/E12,"")</f>
        <v>0.35646724690792492</v>
      </c>
      <c r="H12" s="85">
        <f t="shared" si="5"/>
        <v>0.12284904344662401</v>
      </c>
      <c r="I12" s="28">
        <f t="shared" si="6"/>
        <v>161.08999999999924</v>
      </c>
      <c r="J12" s="163">
        <f t="shared" si="7"/>
        <v>4.1402370696301816E-2</v>
      </c>
      <c r="K12" s="166">
        <f t="shared" si="4"/>
        <v>-0.23361820346130091</v>
      </c>
    </row>
    <row r="13" spans="2:12" x14ac:dyDescent="0.25">
      <c r="B13" s="6" t="s">
        <v>12</v>
      </c>
      <c r="C13" s="28">
        <f>'NAR-REPR'!B16+'PC-REPR'!B15+'LIM-REPR'!B15+'POM-REPR'!B15</f>
        <v>28906.369999999984</v>
      </c>
      <c r="D13" s="28">
        <f>'NAR-REPR'!C16+'PC-REPR'!C15+'LIM-REPR'!C15+'POM-REPR'!C15</f>
        <v>29598.599999999995</v>
      </c>
      <c r="E13" s="28">
        <f>'NAR-REPR'!D16+'PC-REPR'!D15+'LIM-REPR'!D15+'POM-REPR'!D15</f>
        <v>28858</v>
      </c>
      <c r="F13" s="28">
        <f>'NAR-REPR'!E16+'PC-REPR'!E15+'LIM-REPR'!E15+'POM-REPR'!E15</f>
        <v>30184</v>
      </c>
      <c r="G13" s="85">
        <f t="shared" si="8"/>
        <v>1.0016761383325243</v>
      </c>
      <c r="H13" s="85">
        <f t="shared" si="5"/>
        <v>0.98060561887092479</v>
      </c>
      <c r="I13" s="28">
        <f t="shared" si="6"/>
        <v>692.23000000001048</v>
      </c>
      <c r="J13" s="163">
        <f t="shared" si="7"/>
        <v>2.3947316802490626E-2</v>
      </c>
      <c r="K13" s="166">
        <f t="shared" si="4"/>
        <v>-2.1070519461599546E-2</v>
      </c>
    </row>
    <row r="14" spans="2:12" x14ac:dyDescent="0.25">
      <c r="B14" s="8" t="s">
        <v>13</v>
      </c>
      <c r="C14" s="9">
        <f>'NAR-REPR'!B17+'LIM-REPR'!B18</f>
        <v>7.0000000000000007E-2</v>
      </c>
      <c r="D14" s="9">
        <f>'NAR-REPR'!C17+'LIM-REPR'!C18</f>
        <v>0.22999999999999998</v>
      </c>
      <c r="E14" s="9">
        <f>'NAR-REPR'!D17+'LIM-REPR'!D18</f>
        <v>0</v>
      </c>
      <c r="F14" s="9">
        <f>'NAR-REPR'!E17+'LIM-REPR'!E18</f>
        <v>0</v>
      </c>
      <c r="G14" s="23" t="str">
        <f t="shared" si="8"/>
        <v/>
      </c>
      <c r="H14" s="23" t="str">
        <f t="shared" si="5"/>
        <v/>
      </c>
      <c r="I14" s="9">
        <f t="shared" si="6"/>
        <v>0.15999999999999998</v>
      </c>
      <c r="J14" s="162">
        <f t="shared" si="7"/>
        <v>2.2857142857142851</v>
      </c>
      <c r="K14" s="165" t="str">
        <f t="shared" si="4"/>
        <v/>
      </c>
    </row>
    <row r="15" spans="2:12" x14ac:dyDescent="0.25">
      <c r="B15" s="6" t="s">
        <v>13</v>
      </c>
      <c r="C15" s="28">
        <f>'NAR-REPR'!B18+'LIM-REPR'!B19</f>
        <v>7.0000000000000007E-2</v>
      </c>
      <c r="D15" s="28">
        <f>'NAR-REPR'!C18+'LIM-REPR'!C19</f>
        <v>0.22999999999999998</v>
      </c>
      <c r="E15" s="28">
        <f>'NAR-REPR'!D18+'LIM-REPR'!D19</f>
        <v>0</v>
      </c>
      <c r="F15" s="28">
        <f>'NAR-REPR'!E18+'LIM-REPR'!E19</f>
        <v>0</v>
      </c>
      <c r="G15" s="85" t="str">
        <f t="shared" si="8"/>
        <v/>
      </c>
      <c r="H15" s="85" t="str">
        <f t="shared" si="5"/>
        <v/>
      </c>
      <c r="I15" s="28">
        <f t="shared" si="6"/>
        <v>0.15999999999999998</v>
      </c>
      <c r="J15" s="163">
        <f t="shared" si="7"/>
        <v>2.2857142857142851</v>
      </c>
      <c r="K15" s="166" t="str">
        <f t="shared" si="4"/>
        <v/>
      </c>
    </row>
    <row r="16" spans="2:12" x14ac:dyDescent="0.25">
      <c r="B16" s="8" t="s">
        <v>14</v>
      </c>
      <c r="C16" s="9">
        <f>'NAR-REPR'!B19+'PC-REPR'!B16+'LIM-REPR'!B20+'POM-REPR'!B16</f>
        <v>111383.77000000009</v>
      </c>
      <c r="D16" s="9">
        <f>'NAR-REPR'!C19+'PC-REPR'!C16+'LIM-REPR'!C20+'POM-REPR'!C16</f>
        <v>111188.22999999995</v>
      </c>
      <c r="E16" s="9">
        <f>'NAR-REPR'!D19+'PC-REPR'!D16+'LIM-REPR'!D20+'POM-REPR'!D16</f>
        <v>159248</v>
      </c>
      <c r="F16" s="9">
        <f>'NAR-REPR'!E19+'PC-REPR'!E16+'LIM-REPR'!E20+'POM-REPR'!E16</f>
        <v>159098</v>
      </c>
      <c r="G16" s="23">
        <f t="shared" si="8"/>
        <v>0.69943591128303084</v>
      </c>
      <c r="H16" s="23">
        <f t="shared" si="5"/>
        <v>0.69886629624508134</v>
      </c>
      <c r="I16" s="9">
        <f t="shared" si="6"/>
        <v>-195.54000000013912</v>
      </c>
      <c r="J16" s="162">
        <f t="shared" si="7"/>
        <v>-1.7555519982861423E-3</v>
      </c>
      <c r="K16" s="165">
        <f t="shared" si="4"/>
        <v>-5.6961503794950019E-4</v>
      </c>
      <c r="L16" s="184">
        <f>D16/C16-1</f>
        <v>-1.7555519982861423E-3</v>
      </c>
    </row>
    <row r="17" spans="2:12" x14ac:dyDescent="0.25">
      <c r="B17" s="6" t="s">
        <v>15</v>
      </c>
      <c r="C17" s="28">
        <f>'NAR-REPR'!B20+'PC-REPR'!B17+'LIM-REPR'!B21+'POM-REPR'!B17</f>
        <v>22026.95</v>
      </c>
      <c r="D17" s="28">
        <f>'NAR-REPR'!C20+'PC-REPR'!C17+'LIM-REPR'!C21+'POM-REPR'!C17</f>
        <v>22130.479999999996</v>
      </c>
      <c r="E17" s="28">
        <f>'NAR-REPR'!D20+'PC-REPR'!D17+'LIM-REPR'!D21+'POM-REPR'!D17</f>
        <v>32353</v>
      </c>
      <c r="F17" s="28">
        <f>'NAR-REPR'!E20+'PC-REPR'!E17+'LIM-REPR'!E21+'POM-REPR'!E17</f>
        <v>33033</v>
      </c>
      <c r="G17" s="85">
        <f t="shared" si="8"/>
        <v>0.68083176212406893</v>
      </c>
      <c r="H17" s="85">
        <f t="shared" si="5"/>
        <v>0.66995065540520071</v>
      </c>
      <c r="I17" s="28">
        <f t="shared" si="6"/>
        <v>103.5299999999952</v>
      </c>
      <c r="J17" s="163">
        <f t="shared" si="7"/>
        <v>4.7001514054372251E-3</v>
      </c>
      <c r="K17" s="166">
        <f t="shared" si="4"/>
        <v>-1.0881106718868216E-2</v>
      </c>
    </row>
    <row r="18" spans="2:12" x14ac:dyDescent="0.25">
      <c r="B18" s="6" t="s">
        <v>16</v>
      </c>
      <c r="C18" s="28">
        <f>'NAR-REPR'!B21+'PC-REPR'!B18+'LIM-REPR'!B22+'POM-REPR'!B18</f>
        <v>25063.920000000016</v>
      </c>
      <c r="D18" s="28">
        <f>'NAR-REPR'!C21+'PC-REPR'!C18+'LIM-REPR'!C22+'POM-REPR'!C18</f>
        <v>24675.799999999952</v>
      </c>
      <c r="E18" s="28">
        <f>'NAR-REPR'!D21+'PC-REPR'!D18+'LIM-REPR'!D22+'POM-REPR'!D18</f>
        <v>34170</v>
      </c>
      <c r="F18" s="28">
        <f>'NAR-REPR'!E21+'PC-REPR'!E18+'LIM-REPR'!E22+'POM-REPR'!E18</f>
        <v>34125</v>
      </c>
      <c r="G18" s="85">
        <f t="shared" si="8"/>
        <v>0.7335065847234421</v>
      </c>
      <c r="H18" s="85">
        <f t="shared" si="5"/>
        <v>0.72310036630036489</v>
      </c>
      <c r="I18" s="28">
        <f t="shared" si="6"/>
        <v>-388.12000000006446</v>
      </c>
      <c r="J18" s="163">
        <f t="shared" si="7"/>
        <v>-1.5485207421666813E-2</v>
      </c>
      <c r="K18" s="166">
        <f t="shared" si="4"/>
        <v>-1.0406218423077207E-2</v>
      </c>
    </row>
    <row r="19" spans="2:12" x14ac:dyDescent="0.25">
      <c r="B19" s="6" t="s">
        <v>17</v>
      </c>
      <c r="C19" s="28">
        <f>'NAR-REPR'!B22+'PC-REPR'!B19+'LIM-REPR'!B23+'POM-REPR'!B19</f>
        <v>64292.900000000089</v>
      </c>
      <c r="D19" s="28">
        <f>'NAR-REPR'!C22+'PC-REPR'!C19+'LIM-REPR'!C23+'POM-REPR'!C19</f>
        <v>64381.950000000004</v>
      </c>
      <c r="E19" s="28">
        <f>'NAR-REPR'!D22+'PC-REPR'!D19+'LIM-REPR'!D23+'POM-REPR'!D19</f>
        <v>92725</v>
      </c>
      <c r="F19" s="28">
        <f>'NAR-REPR'!E22+'PC-REPR'!E19+'LIM-REPR'!E23+'POM-REPR'!E19</f>
        <v>91940</v>
      </c>
      <c r="G19" s="85">
        <f t="shared" si="8"/>
        <v>0.69337179832839135</v>
      </c>
      <c r="H19" s="85">
        <f t="shared" si="5"/>
        <v>0.70026049597563633</v>
      </c>
      <c r="I19" s="28">
        <f t="shared" si="6"/>
        <v>89.049999999915599</v>
      </c>
      <c r="J19" s="163">
        <f t="shared" si="7"/>
        <v>1.3850674024646903E-3</v>
      </c>
      <c r="K19" s="166">
        <f t="shared" si="4"/>
        <v>6.888697647244979E-3</v>
      </c>
    </row>
    <row r="20" spans="2:12" x14ac:dyDescent="0.25">
      <c r="B20" s="8" t="s">
        <v>18</v>
      </c>
      <c r="C20" s="9">
        <f>'NAR-REPR'!B23+'PC-REPR'!B22+'LIM-REPR'!B26+'POM-REPR'!B20</f>
        <v>0.15</v>
      </c>
      <c r="D20" s="9">
        <f>'NAR-REPR'!C23+'PC-REPR'!C22+'LIM-REPR'!C26+'POM-REPR'!C20</f>
        <v>0.65000000000000013</v>
      </c>
      <c r="E20" s="9">
        <f>'NAR-REPR'!D23+'PC-REPR'!D22+'LIM-REPR'!D26+'POM-REPR'!D20</f>
        <v>8</v>
      </c>
      <c r="F20" s="9">
        <f>'NAR-REPR'!E23+'PC-REPR'!E22+'LIM-REPR'!E26+'POM-REPR'!E20</f>
        <v>8</v>
      </c>
      <c r="G20" s="23">
        <f t="shared" si="8"/>
        <v>1.8749999999999999E-2</v>
      </c>
      <c r="H20" s="23">
        <f t="shared" si="5"/>
        <v>8.1250000000000017E-2</v>
      </c>
      <c r="I20" s="9">
        <f t="shared" si="6"/>
        <v>0.50000000000000011</v>
      </c>
      <c r="J20" s="162">
        <f t="shared" si="7"/>
        <v>3.3333333333333348</v>
      </c>
      <c r="K20" s="165">
        <f t="shared" si="4"/>
        <v>6.2500000000000014E-2</v>
      </c>
    </row>
    <row r="21" spans="2:12" x14ac:dyDescent="0.25">
      <c r="B21" s="6" t="s">
        <v>18</v>
      </c>
      <c r="C21" s="28">
        <f>'NAR-REPR'!B24+'PC-REPR'!B23+'LIM-REPR'!B27+'POM-REPR'!B21</f>
        <v>0.15</v>
      </c>
      <c r="D21" s="28">
        <f>'NAR-REPR'!C24+'PC-REPR'!C23+'LIM-REPR'!C27+'POM-REPR'!C21</f>
        <v>0.65000000000000013</v>
      </c>
      <c r="E21" s="28">
        <f>'NAR-REPR'!D24+'PC-REPR'!D23+'LIM-REPR'!D27+'POM-REPR'!D21</f>
        <v>8</v>
      </c>
      <c r="F21" s="28">
        <f>'NAR-REPR'!E24+'PC-REPR'!E23+'LIM-REPR'!E27+'POM-REPR'!E21</f>
        <v>8</v>
      </c>
      <c r="G21" s="85">
        <f t="shared" si="8"/>
        <v>1.8749999999999999E-2</v>
      </c>
      <c r="H21" s="85">
        <f t="shared" si="5"/>
        <v>8.1250000000000017E-2</v>
      </c>
      <c r="I21" s="28">
        <f t="shared" si="6"/>
        <v>0.50000000000000011</v>
      </c>
      <c r="J21" s="163">
        <f t="shared" si="7"/>
        <v>3.3333333333333348</v>
      </c>
      <c r="K21" s="166">
        <f t="shared" si="4"/>
        <v>6.2500000000000014E-2</v>
      </c>
    </row>
    <row r="22" spans="2:12" x14ac:dyDescent="0.25">
      <c r="B22" s="8" t="s">
        <v>36</v>
      </c>
      <c r="C22" s="9">
        <f>'NAR-REPR'!B25</f>
        <v>0.23</v>
      </c>
      <c r="D22" s="9">
        <f>'NAR-REPR'!C25</f>
        <v>0</v>
      </c>
      <c r="E22" s="9">
        <f>'NAR-REPR'!D25</f>
        <v>3</v>
      </c>
      <c r="F22" s="9">
        <f>'NAR-REPR'!E25</f>
        <v>3</v>
      </c>
      <c r="G22" s="23">
        <f t="shared" si="8"/>
        <v>7.6666666666666675E-2</v>
      </c>
      <c r="H22" s="23">
        <f t="shared" si="5"/>
        <v>0</v>
      </c>
      <c r="I22" s="9">
        <f t="shared" si="6"/>
        <v>-0.23</v>
      </c>
      <c r="J22" s="162">
        <f t="shared" si="7"/>
        <v>-1</v>
      </c>
      <c r="K22" s="165">
        <f t="shared" si="4"/>
        <v>-7.6666666666666675E-2</v>
      </c>
    </row>
    <row r="23" spans="2:12" x14ac:dyDescent="0.25">
      <c r="B23" s="6" t="s">
        <v>37</v>
      </c>
      <c r="C23" s="28">
        <f>'NAR-REPR'!B26</f>
        <v>0.23</v>
      </c>
      <c r="D23" s="28">
        <f>'NAR-REPR'!C26</f>
        <v>0</v>
      </c>
      <c r="E23" s="28">
        <f>'NAR-REPR'!D26</f>
        <v>3</v>
      </c>
      <c r="F23" s="28">
        <f>'NAR-REPR'!E26</f>
        <v>3</v>
      </c>
      <c r="G23" s="85">
        <f t="shared" si="8"/>
        <v>7.6666666666666675E-2</v>
      </c>
      <c r="H23" s="85">
        <f t="shared" si="5"/>
        <v>0</v>
      </c>
      <c r="I23" s="28">
        <f t="shared" si="6"/>
        <v>-0.23</v>
      </c>
      <c r="J23" s="163">
        <f t="shared" si="7"/>
        <v>-1</v>
      </c>
      <c r="K23" s="166">
        <f t="shared" si="4"/>
        <v>-7.6666666666666675E-2</v>
      </c>
    </row>
    <row r="24" spans="2:12" x14ac:dyDescent="0.25">
      <c r="B24" s="8" t="s">
        <v>19</v>
      </c>
      <c r="C24" s="9">
        <f>'NAR-REPR'!B27+'PC-REPR'!B24+'LIM-REPR'!B28+'POM-REPR'!B22</f>
        <v>8035.6799999999985</v>
      </c>
      <c r="D24" s="9">
        <f>'NAR-REPR'!C27+'PC-REPR'!C24+'LIM-REPR'!C28+'POM-REPR'!C22</f>
        <v>7936.1899999999978</v>
      </c>
      <c r="E24" s="9">
        <f>'NAR-REPR'!D27+'PC-REPR'!D24+'LIM-REPR'!D28+'POM-REPR'!D22</f>
        <v>8754</v>
      </c>
      <c r="F24" s="9">
        <f>'NAR-REPR'!E27+'PC-REPR'!E24+'LIM-REPR'!E28+'POM-REPR'!E22</f>
        <v>8797</v>
      </c>
      <c r="G24" s="23">
        <f t="shared" si="8"/>
        <v>0.9179437971213158</v>
      </c>
      <c r="H24" s="23">
        <f t="shared" si="5"/>
        <v>0.90214732295100575</v>
      </c>
      <c r="I24" s="9">
        <f t="shared" si="6"/>
        <v>-99.490000000000691</v>
      </c>
      <c r="J24" s="162">
        <f t="shared" si="7"/>
        <v>-1.2381030603508481E-2</v>
      </c>
      <c r="K24" s="165">
        <f t="shared" si="4"/>
        <v>-1.5796474170310049E-2</v>
      </c>
      <c r="L24" s="184">
        <f>D24/C24-1</f>
        <v>-1.2381030603508481E-2</v>
      </c>
    </row>
    <row r="25" spans="2:12" x14ac:dyDescent="0.25">
      <c r="B25" s="6" t="s">
        <v>20</v>
      </c>
      <c r="C25" s="28">
        <f>'NAR-REPR'!B28+'PC-REPR'!B25+'LIM-REPR'!B29</f>
        <v>3.2</v>
      </c>
      <c r="D25" s="28">
        <f>'NAR-REPR'!C28+'PC-REPR'!C25+'LIM-REPR'!C29</f>
        <v>3.83</v>
      </c>
      <c r="E25" s="28">
        <f>'NAR-REPR'!D28+'PC-REPR'!D25+'LIM-REPR'!D29</f>
        <v>4</v>
      </c>
      <c r="F25" s="28">
        <f>'NAR-REPR'!E28+'PC-REPR'!E25+'LIM-REPR'!E29</f>
        <v>5</v>
      </c>
      <c r="G25" s="85">
        <f t="shared" si="8"/>
        <v>0.8</v>
      </c>
      <c r="H25" s="85">
        <f t="shared" si="5"/>
        <v>0.76600000000000001</v>
      </c>
      <c r="I25" s="28">
        <f t="shared" si="6"/>
        <v>0.62999999999999989</v>
      </c>
      <c r="J25" s="163">
        <f t="shared" si="7"/>
        <v>0.19687499999999991</v>
      </c>
      <c r="K25" s="166">
        <f t="shared" si="4"/>
        <v>-3.400000000000003E-2</v>
      </c>
    </row>
    <row r="26" spans="2:12" x14ac:dyDescent="0.25">
      <c r="B26" s="6" t="s">
        <v>21</v>
      </c>
      <c r="C26" s="28">
        <f>'NAR-REPR'!B29</f>
        <v>0.16</v>
      </c>
      <c r="D26" s="28">
        <f>'NAR-REPR'!C29</f>
        <v>0.15000000000000002</v>
      </c>
      <c r="E26" s="28">
        <f>'NAR-REPR'!D29</f>
        <v>0</v>
      </c>
      <c r="F26" s="28">
        <f>'NAR-REPR'!E30</f>
        <v>2178</v>
      </c>
      <c r="G26" s="85" t="str">
        <f t="shared" si="8"/>
        <v/>
      </c>
      <c r="H26" s="85">
        <f t="shared" si="5"/>
        <v>6.8870523415977969E-5</v>
      </c>
      <c r="I26" s="28">
        <f t="shared" si="6"/>
        <v>-9.9999999999999811E-3</v>
      </c>
      <c r="J26" s="163">
        <f t="shared" si="7"/>
        <v>-6.2499999999999889E-2</v>
      </c>
      <c r="K26" s="166" t="str">
        <f t="shared" si="4"/>
        <v/>
      </c>
    </row>
    <row r="27" spans="2:12" x14ac:dyDescent="0.25">
      <c r="B27" s="6" t="s">
        <v>22</v>
      </c>
      <c r="C27" s="28">
        <f>'NAR-REPR'!B30+'PC-REPR'!B26+'LIM-REPR'!B31+'POM-REPR'!B23</f>
        <v>8032.1399999999985</v>
      </c>
      <c r="D27" s="28">
        <f>'NAR-REPR'!C30+'PC-REPR'!C26+'LIM-REPR'!C31+'POM-REPR'!C23</f>
        <v>7932.0299999999979</v>
      </c>
      <c r="E27" s="28">
        <f>'NAR-REPR'!D30+'PC-REPR'!D26+'LIM-REPR'!D31+'POM-REPR'!D23</f>
        <v>8750</v>
      </c>
      <c r="F27" s="28">
        <f>'NAR-REPR'!E30+'PC-REPR'!E26+'LIM-REPR'!E31+'POM-REPR'!E23</f>
        <v>8792</v>
      </c>
      <c r="G27" s="85">
        <f t="shared" si="8"/>
        <v>0.91795885714285697</v>
      </c>
      <c r="H27" s="85">
        <f t="shared" si="5"/>
        <v>0.90218721565059123</v>
      </c>
      <c r="I27" s="28">
        <f t="shared" si="6"/>
        <v>-100.11000000000058</v>
      </c>
      <c r="J27" s="163">
        <f t="shared" si="7"/>
        <v>-1.2463677176941745E-2</v>
      </c>
      <c r="K27" s="166">
        <f t="shared" si="4"/>
        <v>-1.5771641492265731E-2</v>
      </c>
    </row>
    <row r="28" spans="2:12" x14ac:dyDescent="0.25">
      <c r="B28" s="6" t="s">
        <v>47</v>
      </c>
      <c r="C28" s="28">
        <f>'LIM-REPR'!B30</f>
        <v>0.18</v>
      </c>
      <c r="D28" s="28">
        <f>'LIM-REPR'!C30</f>
        <v>0.18</v>
      </c>
      <c r="E28" s="28">
        <f>'LIM-REPR'!D30</f>
        <v>0</v>
      </c>
      <c r="F28" s="28">
        <f>'LIM-REPR'!E30</f>
        <v>0</v>
      </c>
      <c r="G28" s="85"/>
      <c r="H28" s="85"/>
      <c r="I28" s="28"/>
      <c r="J28" s="163"/>
      <c r="K28" s="166">
        <f t="shared" si="4"/>
        <v>0</v>
      </c>
    </row>
    <row r="29" spans="2:12" x14ac:dyDescent="0.25">
      <c r="B29" s="8" t="s">
        <v>23</v>
      </c>
      <c r="C29" s="9">
        <f>'NAR-REPR'!B31+'PC-REPR'!B27+'LIM-REPR'!B32</f>
        <v>59.820000000000014</v>
      </c>
      <c r="D29" s="9">
        <f>'NAR-REPR'!C31+'PC-REPR'!C27+'LIM-REPR'!C32</f>
        <v>80.099999999999994</v>
      </c>
      <c r="E29" s="9">
        <f>'NAR-REPR'!D31+'PC-REPR'!D27+'LIM-REPR'!D32</f>
        <v>59</v>
      </c>
      <c r="F29" s="9">
        <f>'NAR-REPR'!E31+'PC-REPR'!E27+'LIM-REPR'!E32</f>
        <v>70</v>
      </c>
      <c r="G29" s="23">
        <f t="shared" si="8"/>
        <v>1.0138983050847461</v>
      </c>
      <c r="H29" s="23">
        <f t="shared" si="5"/>
        <v>1.1442857142857141</v>
      </c>
      <c r="I29" s="9">
        <f t="shared" si="6"/>
        <v>20.27999999999998</v>
      </c>
      <c r="J29" s="162">
        <f t="shared" si="7"/>
        <v>0.33901705115346004</v>
      </c>
      <c r="K29" s="165">
        <f t="shared" si="4"/>
        <v>0.13038740920096803</v>
      </c>
    </row>
    <row r="30" spans="2:12" x14ac:dyDescent="0.25">
      <c r="B30" s="6" t="s">
        <v>24</v>
      </c>
      <c r="C30" s="28">
        <f>'NAR-REPR'!B32+'PC-REPR'!B28+'LIM-REPR'!B33</f>
        <v>53.320000000000014</v>
      </c>
      <c r="D30" s="28">
        <f>'NAR-REPR'!C32+'PC-REPR'!C28+'LIM-REPR'!C33</f>
        <v>73.459999999999994</v>
      </c>
      <c r="E30" s="28">
        <f>'NAR-REPR'!D32+'PC-REPR'!D28+'LIM-REPR'!D33</f>
        <v>52</v>
      </c>
      <c r="F30" s="28">
        <f>'NAR-REPR'!E32+'PC-REPR'!E28+'LIM-REPR'!E33</f>
        <v>63</v>
      </c>
      <c r="G30" s="85">
        <f t="shared" si="8"/>
        <v>1.0253846153846156</v>
      </c>
      <c r="H30" s="85">
        <f t="shared" si="5"/>
        <v>1.166031746031746</v>
      </c>
      <c r="I30" s="28">
        <f t="shared" si="6"/>
        <v>20.139999999999979</v>
      </c>
      <c r="J30" s="163">
        <f t="shared" si="7"/>
        <v>0.37771942985746398</v>
      </c>
      <c r="K30" s="166">
        <f t="shared" si="4"/>
        <v>0.14064713064713041</v>
      </c>
    </row>
    <row r="31" spans="2:12" x14ac:dyDescent="0.25">
      <c r="B31" s="6" t="s">
        <v>25</v>
      </c>
      <c r="C31" s="28">
        <f>'NAR-REPR'!B33+'PC-REPR'!B29+'LIM-REPR'!B34</f>
        <v>6.4999999999999991</v>
      </c>
      <c r="D31" s="28">
        <f>'NAR-REPR'!C33+'PC-REPR'!C29+'LIM-REPR'!C34</f>
        <v>6.6399999999999988</v>
      </c>
      <c r="E31" s="28">
        <f>'NAR-REPR'!D33+'PC-REPR'!D29+'LIM-REPR'!D34</f>
        <v>7</v>
      </c>
      <c r="F31" s="28">
        <f>'NAR-REPR'!E33+'PC-REPR'!E29+'LIM-REPR'!E34</f>
        <v>7</v>
      </c>
      <c r="G31" s="85">
        <f t="shared" si="8"/>
        <v>0.92857142857142849</v>
      </c>
      <c r="H31" s="85">
        <f t="shared" si="5"/>
        <v>0.9485714285714284</v>
      </c>
      <c r="I31" s="28">
        <f t="shared" si="6"/>
        <v>0.13999999999999968</v>
      </c>
      <c r="J31" s="163">
        <f t="shared" si="7"/>
        <v>2.1538461538461506E-2</v>
      </c>
      <c r="K31" s="166">
        <f t="shared" si="4"/>
        <v>1.9999999999999907E-2</v>
      </c>
    </row>
    <row r="32" spans="2:12" x14ac:dyDescent="0.25">
      <c r="B32" s="8" t="s">
        <v>26</v>
      </c>
      <c r="C32" s="9">
        <f>'NAR-REPR'!B34+'LIM-REPR'!B35</f>
        <v>0.02</v>
      </c>
      <c r="D32" s="9">
        <f>'NAR-REPR'!C34+'LIM-REPR'!C35</f>
        <v>0.08</v>
      </c>
      <c r="E32" s="9">
        <f>'NAR-REPR'!D34+'LIM-REPR'!D35</f>
        <v>278</v>
      </c>
      <c r="F32" s="9">
        <f>'NAR-REPR'!E34+'LIM-REPR'!E35</f>
        <v>277</v>
      </c>
      <c r="G32" s="23">
        <f t="shared" si="8"/>
        <v>7.1942446043165466E-5</v>
      </c>
      <c r="H32" s="23">
        <f t="shared" si="5"/>
        <v>2.8880866425992781E-4</v>
      </c>
      <c r="I32" s="9">
        <f t="shared" si="6"/>
        <v>0.06</v>
      </c>
      <c r="J32" s="162">
        <f t="shared" si="7"/>
        <v>3</v>
      </c>
      <c r="K32" s="165">
        <f t="shared" si="4"/>
        <v>2.1686621821676233E-4</v>
      </c>
    </row>
    <row r="33" spans="2:12" x14ac:dyDescent="0.25">
      <c r="B33" s="6" t="s">
        <v>27</v>
      </c>
      <c r="C33" s="28">
        <f>'NAR-REPR'!B35+'LIM-REPR'!B36</f>
        <v>0</v>
      </c>
      <c r="D33" s="28">
        <f>'NAR-REPR'!C35+'LIM-REPR'!C36</f>
        <v>0.06</v>
      </c>
      <c r="E33" s="28">
        <f>'NAR-REPR'!D35+'LIM-REPR'!D36</f>
        <v>181</v>
      </c>
      <c r="F33" s="28">
        <f>'NAR-REPR'!E35+'LIM-REPR'!E36</f>
        <v>181</v>
      </c>
      <c r="G33" s="85">
        <f t="shared" si="8"/>
        <v>0</v>
      </c>
      <c r="H33" s="85">
        <f t="shared" si="5"/>
        <v>3.3149171270718233E-4</v>
      </c>
      <c r="I33" s="28">
        <f t="shared" si="6"/>
        <v>0.06</v>
      </c>
      <c r="J33" s="163" t="str">
        <f t="shared" si="7"/>
        <v/>
      </c>
      <c r="K33" s="166">
        <f t="shared" si="4"/>
        <v>3.3149171270718233E-4</v>
      </c>
    </row>
    <row r="34" spans="2:12" x14ac:dyDescent="0.25">
      <c r="B34" s="6" t="s">
        <v>46</v>
      </c>
      <c r="C34" s="28">
        <f>'NAR-REPR'!B36+'LIM-REPR'!B37</f>
        <v>0.02</v>
      </c>
      <c r="D34" s="28">
        <f>'NAR-REPR'!C36+'LIM-REPR'!C37</f>
        <v>0.02</v>
      </c>
      <c r="E34" s="28">
        <f>'NAR-REPR'!D36+'LIM-REPR'!D37</f>
        <v>18</v>
      </c>
      <c r="F34" s="28">
        <f>'NAR-REPR'!E36+'LIM-REPR'!E37</f>
        <v>18</v>
      </c>
      <c r="G34" s="85">
        <f t="shared" si="8"/>
        <v>1.1111111111111111E-3</v>
      </c>
      <c r="H34" s="85">
        <f t="shared" si="5"/>
        <v>1.1111111111111111E-3</v>
      </c>
      <c r="I34" s="28">
        <f t="shared" si="6"/>
        <v>0</v>
      </c>
      <c r="J34" s="163">
        <f t="shared" si="7"/>
        <v>0</v>
      </c>
      <c r="K34" s="166">
        <f t="shared" si="4"/>
        <v>0</v>
      </c>
    </row>
    <row r="35" spans="2:12" x14ac:dyDescent="0.25">
      <c r="B35" s="6" t="s">
        <v>48</v>
      </c>
      <c r="C35" s="28">
        <f>'NAR-REPR'!B37+'LIM-REPR'!B38</f>
        <v>0</v>
      </c>
      <c r="D35" s="28">
        <f>'NAR-REPR'!C37+'LIM-REPR'!C38</f>
        <v>0</v>
      </c>
      <c r="E35" s="28">
        <f>'NAR-REPR'!D37+'LIM-REPR'!D38</f>
        <v>2</v>
      </c>
      <c r="F35" s="28">
        <f>'NAR-REPR'!E37+'LIM-REPR'!E38</f>
        <v>3</v>
      </c>
      <c r="G35" s="85">
        <f t="shared" si="8"/>
        <v>0</v>
      </c>
      <c r="H35" s="85">
        <f t="shared" si="5"/>
        <v>0</v>
      </c>
      <c r="I35" s="28">
        <f t="shared" si="6"/>
        <v>0</v>
      </c>
      <c r="J35" s="163" t="str">
        <f t="shared" si="7"/>
        <v/>
      </c>
      <c r="K35" s="166">
        <f t="shared" si="4"/>
        <v>0</v>
      </c>
    </row>
    <row r="36" spans="2:12" x14ac:dyDescent="0.25">
      <c r="B36" s="6" t="s">
        <v>49</v>
      </c>
      <c r="C36" s="28">
        <f>'NAR-REPR'!B38+'LIM-REPR'!B39</f>
        <v>0</v>
      </c>
      <c r="D36" s="28">
        <f>'NAR-REPR'!C38+'LIM-REPR'!C39</f>
        <v>0</v>
      </c>
      <c r="E36" s="28">
        <f>'NAR-REPR'!D38+'LIM-REPR'!D39</f>
        <v>77</v>
      </c>
      <c r="F36" s="28">
        <f>'NAR-REPR'!E38+'LIM-REPR'!E39</f>
        <v>75</v>
      </c>
      <c r="G36" s="85">
        <f t="shared" si="8"/>
        <v>0</v>
      </c>
      <c r="H36" s="85">
        <f t="shared" si="5"/>
        <v>0</v>
      </c>
      <c r="I36" s="28">
        <f t="shared" si="6"/>
        <v>0</v>
      </c>
      <c r="J36" s="163" t="str">
        <f t="shared" si="7"/>
        <v/>
      </c>
      <c r="K36" s="166">
        <f t="shared" si="4"/>
        <v>0</v>
      </c>
    </row>
    <row r="37" spans="2:12" x14ac:dyDescent="0.25">
      <c r="B37" s="8" t="s">
        <v>28</v>
      </c>
      <c r="C37" s="9">
        <f>'NAR-REPR'!B39+'PC-REPR'!B30+'LIM-REPR'!B40+'POM-REPR'!B24</f>
        <v>803.18</v>
      </c>
      <c r="D37" s="9">
        <f>'NAR-REPR'!C39+'PC-REPR'!C30+'LIM-REPR'!C40+'POM-REPR'!C24</f>
        <v>779.54999999999984</v>
      </c>
      <c r="E37" s="9">
        <f>'NAR-REPR'!D39+'PC-REPR'!D30+'LIM-REPR'!D40+'POM-REPR'!D24</f>
        <v>2130</v>
      </c>
      <c r="F37" s="9">
        <f>'NAR-REPR'!E39+'PC-REPR'!E30+'LIM-REPR'!E40+'POM-REPR'!E24</f>
        <v>2130</v>
      </c>
      <c r="G37" s="23">
        <f t="shared" si="8"/>
        <v>0.37707981220657277</v>
      </c>
      <c r="H37" s="23">
        <f t="shared" si="5"/>
        <v>0.36598591549295767</v>
      </c>
      <c r="I37" s="9">
        <f t="shared" si="6"/>
        <v>-23.630000000000109</v>
      </c>
      <c r="J37" s="162">
        <f t="shared" si="7"/>
        <v>-2.9420553300630092E-2</v>
      </c>
      <c r="K37" s="165">
        <f t="shared" si="4"/>
        <v>-1.1093896713615103E-2</v>
      </c>
      <c r="L37" s="184">
        <f>D37/C37-1</f>
        <v>-2.9420553300630092E-2</v>
      </c>
    </row>
    <row r="38" spans="2:12" x14ac:dyDescent="0.25">
      <c r="B38" s="6" t="s">
        <v>28</v>
      </c>
      <c r="C38" s="28">
        <f>'NAR-REPR'!B40+'PC-REPR'!B31+'LIM-REPR'!B41+'POM-REPR'!B25</f>
        <v>803.18</v>
      </c>
      <c r="D38" s="28">
        <f>'NAR-REPR'!C40+'PC-REPR'!C31+'LIM-REPR'!C41+'POM-REPR'!C25</f>
        <v>779.54999999999984</v>
      </c>
      <c r="E38" s="28">
        <f>'NAR-REPR'!D40+'PC-REPR'!D31+'LIM-REPR'!D41+'POM-REPR'!D25</f>
        <v>2130</v>
      </c>
      <c r="F38" s="28">
        <f>'NAR-REPR'!E40+'PC-REPR'!E31+'LIM-REPR'!E41+'POM-REPR'!E25</f>
        <v>2130</v>
      </c>
      <c r="G38" s="85">
        <f t="shared" si="8"/>
        <v>0.37707981220657277</v>
      </c>
      <c r="H38" s="85">
        <f t="shared" si="5"/>
        <v>0.36598591549295767</v>
      </c>
      <c r="I38" s="28">
        <f t="shared" si="6"/>
        <v>-23.630000000000109</v>
      </c>
      <c r="J38" s="163">
        <f t="shared" si="7"/>
        <v>-2.9420553300630092E-2</v>
      </c>
      <c r="K38" s="166">
        <f t="shared" si="4"/>
        <v>-1.1093896713615103E-2</v>
      </c>
    </row>
    <row r="39" spans="2:12" x14ac:dyDescent="0.25">
      <c r="B39" s="8" t="s">
        <v>29</v>
      </c>
      <c r="C39" s="9">
        <f>'NAR-REPR'!B41+'PC-REPR'!B32+'LIM-REPR'!B42+'POM-REPR'!B26</f>
        <v>0</v>
      </c>
      <c r="D39" s="9">
        <f>'NAR-REPR'!C41+'PC-REPR'!C32+'LIM-REPR'!C42+'POM-REPR'!C26</f>
        <v>227.32999999999998</v>
      </c>
      <c r="E39" s="9">
        <f>'NAR-REPR'!D41+'PC-REPR'!D32+'LIM-REPR'!D42+'POM-REPR'!D26</f>
        <v>1323</v>
      </c>
      <c r="F39" s="9">
        <f>'NAR-REPR'!E41+'PC-REPR'!E32+'LIM-REPR'!E42+'POM-REPR'!E26</f>
        <v>1336</v>
      </c>
      <c r="G39" s="23">
        <f t="shared" si="8"/>
        <v>0</v>
      </c>
      <c r="H39" s="23">
        <f t="shared" si="5"/>
        <v>0.17015718562874249</v>
      </c>
      <c r="I39" s="9">
        <f t="shared" si="6"/>
        <v>227.32999999999998</v>
      </c>
      <c r="J39" s="162" t="str">
        <f t="shared" si="7"/>
        <v/>
      </c>
      <c r="K39" s="165">
        <f t="shared" si="4"/>
        <v>0.17015718562874249</v>
      </c>
    </row>
    <row r="40" spans="2:12" x14ac:dyDescent="0.25">
      <c r="B40" s="6" t="s">
        <v>30</v>
      </c>
      <c r="C40" s="28">
        <f>'NAR-REPR'!B42+'PC-REPR'!B33+'LIM-REPR'!B43+'POM-REPR'!B27</f>
        <v>0</v>
      </c>
      <c r="D40" s="28">
        <f>'NAR-REPR'!C42+'PC-REPR'!C33+'LIM-REPR'!C43+'POM-REPR'!C27</f>
        <v>120.14</v>
      </c>
      <c r="E40" s="28">
        <f>'NAR-REPR'!D42+'PC-REPR'!D33+'LIM-REPR'!D43+'POM-REPR'!D27</f>
        <v>762</v>
      </c>
      <c r="F40" s="28">
        <f>'NAR-REPR'!E42+'PC-REPR'!E33+'LIM-REPR'!E43+'POM-REPR'!E27</f>
        <v>770</v>
      </c>
      <c r="G40" s="85">
        <f t="shared" si="8"/>
        <v>0</v>
      </c>
      <c r="H40" s="85">
        <f t="shared" si="5"/>
        <v>0.15602597402597404</v>
      </c>
      <c r="I40" s="28">
        <f t="shared" si="6"/>
        <v>120.14</v>
      </c>
      <c r="J40" s="163" t="str">
        <f t="shared" si="7"/>
        <v/>
      </c>
      <c r="K40" s="166">
        <f t="shared" si="4"/>
        <v>0.15602597402597404</v>
      </c>
    </row>
    <row r="41" spans="2:12" x14ac:dyDescent="0.25">
      <c r="B41" s="6" t="s">
        <v>31</v>
      </c>
      <c r="C41" s="28">
        <f>'NAR-REPR'!B43+'PC-REPR'!B34+'LIM-REPR'!B44+'POM-REPR'!B28</f>
        <v>0</v>
      </c>
      <c r="D41" s="28">
        <f>'NAR-REPR'!C43+'PC-REPR'!C34+'LIM-REPR'!C44+'POM-REPR'!C28</f>
        <v>107.19</v>
      </c>
      <c r="E41" s="28">
        <f>'NAR-REPR'!D43+'PC-REPR'!D34+'LIM-REPR'!D44+'POM-REPR'!D28</f>
        <v>561</v>
      </c>
      <c r="F41" s="28">
        <f>'NAR-REPR'!E43+'PC-REPR'!E34+'LIM-REPR'!E44+'POM-REPR'!E28</f>
        <v>566</v>
      </c>
      <c r="G41" s="85">
        <f t="shared" si="8"/>
        <v>0</v>
      </c>
      <c r="H41" s="85">
        <f t="shared" si="5"/>
        <v>0.18938162544169612</v>
      </c>
      <c r="I41" s="28">
        <f t="shared" si="6"/>
        <v>107.19</v>
      </c>
      <c r="J41" s="163" t="str">
        <f t="shared" si="7"/>
        <v/>
      </c>
      <c r="K41" s="166">
        <f t="shared" si="4"/>
        <v>0.18938162544169612</v>
      </c>
    </row>
    <row r="42" spans="2:12" x14ac:dyDescent="0.25">
      <c r="B42" s="8" t="s">
        <v>32</v>
      </c>
      <c r="C42" s="9">
        <f>'NAR-REPR'!B44+'PC-REPR'!B35+'LIM-REPR'!B45+'POM-REPR'!B29</f>
        <v>26901.96</v>
      </c>
      <c r="D42" s="9">
        <f>'NAR-REPR'!C44+'PC-REPR'!C35+'LIM-REPR'!C45+'POM-REPR'!C29</f>
        <v>26719.730000000003</v>
      </c>
      <c r="E42" s="9">
        <f>'NAR-REPR'!D44+'PC-REPR'!D35+'LIM-REPR'!D45+'POM-REPR'!D29</f>
        <v>39500</v>
      </c>
      <c r="F42" s="9">
        <f>'NAR-REPR'!E44+'PC-REPR'!E35+'LIM-REPR'!E45+'POM-REPR'!E29</f>
        <v>39379</v>
      </c>
      <c r="G42" s="23">
        <f t="shared" si="8"/>
        <v>0.68106227848101264</v>
      </c>
      <c r="H42" s="23">
        <f t="shared" si="5"/>
        <v>0.6785273876939486</v>
      </c>
      <c r="I42" s="9">
        <f t="shared" si="6"/>
        <v>-182.22999999999593</v>
      </c>
      <c r="J42" s="162">
        <f t="shared" si="7"/>
        <v>-6.7738558826195838E-3</v>
      </c>
      <c r="K42" s="165">
        <f t="shared" si="4"/>
        <v>-2.5348907870640369E-3</v>
      </c>
      <c r="L42" s="184">
        <f>D42/C42-1</f>
        <v>-6.7738558826195838E-3</v>
      </c>
    </row>
    <row r="43" spans="2:12" x14ac:dyDescent="0.25">
      <c r="B43" s="6" t="s">
        <v>32</v>
      </c>
      <c r="C43" s="28">
        <f>'NAR-REPR'!B45+'PC-REPR'!B36+'LIM-REPR'!B46+'POM-REPR'!B30</f>
        <v>26901.96</v>
      </c>
      <c r="D43" s="28">
        <f>'NAR-REPR'!C45+'PC-REPR'!C36+'LIM-REPR'!C46+'POM-REPR'!C30</f>
        <v>26719.730000000003</v>
      </c>
      <c r="E43" s="28">
        <f>'NAR-REPR'!D45+'PC-REPR'!D36+'LIM-REPR'!D46+'POM-REPR'!D30</f>
        <v>39500</v>
      </c>
      <c r="F43" s="28">
        <f>'NAR-REPR'!E45+'PC-REPR'!E36+'LIM-REPR'!E46+'POM-REPR'!E30</f>
        <v>39379</v>
      </c>
      <c r="G43" s="85">
        <f t="shared" si="8"/>
        <v>0.68106227848101264</v>
      </c>
      <c r="H43" s="85">
        <f t="shared" si="5"/>
        <v>0.6785273876939486</v>
      </c>
      <c r="I43" s="28">
        <f t="shared" si="6"/>
        <v>-182.22999999999593</v>
      </c>
      <c r="J43" s="163">
        <f t="shared" si="7"/>
        <v>-6.7738558826195838E-3</v>
      </c>
      <c r="K43" s="166">
        <f t="shared" si="4"/>
        <v>-2.5348907870640369E-3</v>
      </c>
    </row>
    <row r="44" spans="2:12" x14ac:dyDescent="0.25">
      <c r="B44" s="8" t="s">
        <v>34</v>
      </c>
      <c r="C44" s="9">
        <f>'NAR-REPR'!B46+'LIM-REPR'!B47</f>
        <v>0.03</v>
      </c>
      <c r="D44" s="9">
        <f>'NAR-REPR'!C46+'LIM-REPR'!C47</f>
        <v>0</v>
      </c>
      <c r="E44" s="9">
        <f>'NAR-REPR'!D46+'LIM-REPR'!D47</f>
        <v>1</v>
      </c>
      <c r="F44" s="9">
        <f>'NAR-REPR'!E46+'LIM-REPR'!E47</f>
        <v>1</v>
      </c>
      <c r="G44" s="23">
        <f t="shared" si="8"/>
        <v>0.03</v>
      </c>
      <c r="H44" s="23">
        <f t="shared" si="5"/>
        <v>0</v>
      </c>
      <c r="I44" s="9">
        <f t="shared" si="6"/>
        <v>-0.03</v>
      </c>
      <c r="J44" s="162">
        <f t="shared" si="7"/>
        <v>-1</v>
      </c>
      <c r="K44" s="165">
        <f t="shared" si="4"/>
        <v>-0.03</v>
      </c>
      <c r="L44" s="184"/>
    </row>
    <row r="45" spans="2:12" x14ac:dyDescent="0.25">
      <c r="B45" s="6" t="s">
        <v>35</v>
      </c>
      <c r="C45" s="28">
        <f>'NAR-REPR'!B47</f>
        <v>0.03</v>
      </c>
      <c r="D45" s="28">
        <f>'NAR-REPR'!C47</f>
        <v>0</v>
      </c>
      <c r="E45" s="28">
        <f>'NAR-REPR'!D47</f>
        <v>0</v>
      </c>
      <c r="F45" s="28">
        <f>'NAR-REPR'!E47</f>
        <v>0</v>
      </c>
      <c r="G45" s="85" t="str">
        <f t="shared" si="8"/>
        <v/>
      </c>
      <c r="H45" s="85" t="str">
        <f t="shared" si="5"/>
        <v/>
      </c>
      <c r="I45" s="28">
        <f t="shared" si="6"/>
        <v>-0.03</v>
      </c>
      <c r="J45" s="163">
        <f t="shared" si="7"/>
        <v>-1</v>
      </c>
      <c r="K45" s="166" t="str">
        <f t="shared" si="4"/>
        <v/>
      </c>
    </row>
    <row r="46" spans="2:12" x14ac:dyDescent="0.25">
      <c r="B46" s="6" t="s">
        <v>50</v>
      </c>
      <c r="C46" s="28">
        <f>'LIM-REPR'!B48</f>
        <v>0</v>
      </c>
      <c r="D46" s="28">
        <f>'LIM-REPR'!C48</f>
        <v>0</v>
      </c>
      <c r="E46" s="28">
        <f>'LIM-REPR'!D48</f>
        <v>1</v>
      </c>
      <c r="F46" s="28">
        <f>'LIM-REPR'!E48</f>
        <v>1</v>
      </c>
      <c r="G46" s="85"/>
      <c r="H46" s="85"/>
      <c r="I46" s="28"/>
      <c r="J46" s="163"/>
      <c r="K46" s="166">
        <f t="shared" si="4"/>
        <v>0</v>
      </c>
    </row>
    <row r="47" spans="2:12" x14ac:dyDescent="0.25">
      <c r="B47" s="7" t="s">
        <v>33</v>
      </c>
      <c r="C47" s="12">
        <f>'NAR-REPR'!B48+'PC-REPR'!B37+'LIM-REPR'!B49+'POM-REPR'!B31</f>
        <v>214428.82000000007</v>
      </c>
      <c r="D47" s="12">
        <f>'NAR-REPR'!C48+'PC-REPR'!C37+'LIM-REPR'!C49+'POM-REPR'!C31</f>
        <v>215399.8600000001</v>
      </c>
      <c r="E47" s="12">
        <f>'NAR-REPR'!D48+'PC-REPR'!D37+'LIM-REPR'!D49+'POM-REPR'!D31</f>
        <v>296477</v>
      </c>
      <c r="F47" s="12">
        <f>'NAR-REPR'!E48+'PC-REPR'!E37+'LIM-REPR'!E49+'POM-REPR'!E31</f>
        <v>297969</v>
      </c>
      <c r="G47" s="25">
        <f t="shared" si="8"/>
        <v>0.72325617164231981</v>
      </c>
      <c r="H47" s="25">
        <f t="shared" si="5"/>
        <v>0.72289352248052685</v>
      </c>
      <c r="I47" s="13">
        <f t="shared" si="6"/>
        <v>971.04000000003725</v>
      </c>
      <c r="J47" s="164">
        <f t="shared" si="7"/>
        <v>4.5284957497786493E-3</v>
      </c>
      <c r="K47" s="167">
        <f t="shared" si="4"/>
        <v>-3.6264916179296058E-4</v>
      </c>
      <c r="L47" s="184">
        <f>D47/C47-1</f>
        <v>4.5284957497786493E-3</v>
      </c>
    </row>
    <row r="48" spans="2:12" x14ac:dyDescent="0.25">
      <c r="C48" s="184">
        <f>D47/C47-1</f>
        <v>4.5284957497786493E-3</v>
      </c>
      <c r="F48" s="131"/>
    </row>
    <row r="50" spans="2:3" x14ac:dyDescent="0.25">
      <c r="B50" s="185" t="s">
        <v>204</v>
      </c>
      <c r="C50" s="185">
        <v>141127</v>
      </c>
    </row>
    <row r="51" spans="2:3" x14ac:dyDescent="0.25">
      <c r="B51" s="185" t="s">
        <v>205</v>
      </c>
      <c r="C51" s="185">
        <v>106018</v>
      </c>
    </row>
    <row r="52" spans="2:3" x14ac:dyDescent="0.25">
      <c r="B52" s="185" t="s">
        <v>206</v>
      </c>
      <c r="C52" s="185">
        <v>48196</v>
      </c>
    </row>
    <row r="53" spans="2:3" x14ac:dyDescent="0.25">
      <c r="B53" s="185" t="s">
        <v>207</v>
      </c>
      <c r="C53" s="185">
        <v>2628</v>
      </c>
    </row>
    <row r="54" spans="2:3" x14ac:dyDescent="0.25">
      <c r="B54" s="185"/>
      <c r="C54" s="185">
        <f>SUM(C50:C53)</f>
        <v>297969</v>
      </c>
    </row>
  </sheetData>
  <mergeCells count="6">
    <mergeCell ref="K3:K4"/>
    <mergeCell ref="B3:B4"/>
    <mergeCell ref="C3:D3"/>
    <mergeCell ref="E3:F3"/>
    <mergeCell ref="G3:H3"/>
    <mergeCell ref="I3:J3"/>
  </mergeCells>
  <conditionalFormatting sqref="K5:K47">
    <cfRule type="cellIs" dxfId="9" priority="1" operator="lessThan">
      <formula>0</formula>
    </cfRule>
  </conditionalFormatting>
  <hyperlinks>
    <hyperlink ref="D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1" sqref="F1:G1"/>
    </sheetView>
  </sheetViews>
  <sheetFormatPr baseColWidth="10" defaultRowHeight="15" x14ac:dyDescent="0.25"/>
  <cols>
    <col min="1" max="1" width="17.7109375" customWidth="1"/>
    <col min="9" max="9" width="15.42578125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4" t="s">
        <v>174</v>
      </c>
      <c r="B3" s="212"/>
      <c r="I3" s="214" t="s">
        <v>175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6.86</v>
      </c>
      <c r="C5" s="10">
        <v>6.62</v>
      </c>
      <c r="D5" s="10">
        <v>0</v>
      </c>
      <c r="E5" s="10">
        <v>1.26</v>
      </c>
      <c r="F5" s="10">
        <v>14.74</v>
      </c>
      <c r="I5" s="43" t="s">
        <v>4</v>
      </c>
      <c r="J5" s="10">
        <v>93.71</v>
      </c>
      <c r="K5" s="10">
        <v>73.72</v>
      </c>
      <c r="L5" s="10">
        <v>23.42</v>
      </c>
      <c r="M5" s="10">
        <v>34.68</v>
      </c>
      <c r="N5" s="10">
        <v>225.53000000000003</v>
      </c>
    </row>
    <row r="6" spans="1:14" x14ac:dyDescent="0.25">
      <c r="A6" s="43" t="s">
        <v>43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I6" s="43" t="s">
        <v>43</v>
      </c>
      <c r="J6" s="10">
        <v>0</v>
      </c>
      <c r="K6" s="10">
        <v>1.6</v>
      </c>
      <c r="L6" s="10">
        <v>0</v>
      </c>
      <c r="M6" s="10">
        <v>0.68</v>
      </c>
      <c r="N6" s="10">
        <v>2.2800000000000002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12.68</v>
      </c>
      <c r="C8" s="10">
        <v>5.7</v>
      </c>
      <c r="D8" s="10">
        <v>4.41</v>
      </c>
      <c r="E8" s="10">
        <v>3.2850000000000001</v>
      </c>
      <c r="F8" s="10">
        <v>26.074999999999999</v>
      </c>
      <c r="I8" s="43" t="s">
        <v>14</v>
      </c>
      <c r="J8" s="10">
        <v>2912.8575000000001</v>
      </c>
      <c r="K8" s="10">
        <v>701.65333333333297</v>
      </c>
      <c r="L8" s="10">
        <v>278.11</v>
      </c>
      <c r="M8" s="10">
        <v>224.6</v>
      </c>
      <c r="N8" s="10">
        <v>4117.2208333333328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I10" s="43" t="s">
        <v>39</v>
      </c>
      <c r="J10" s="10">
        <v>22.44</v>
      </c>
      <c r="K10" s="10">
        <v>13.73</v>
      </c>
      <c r="L10" s="10">
        <v>0.81</v>
      </c>
      <c r="M10" s="10">
        <v>0</v>
      </c>
      <c r="N10" s="10">
        <v>36.980000000000004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I12" s="43" t="s">
        <v>19</v>
      </c>
      <c r="J12" s="10">
        <v>18.559999999999999</v>
      </c>
      <c r="K12" s="10">
        <v>0.25</v>
      </c>
      <c r="L12" s="10">
        <v>0.06</v>
      </c>
      <c r="M12" s="10">
        <v>0</v>
      </c>
      <c r="N12" s="10">
        <v>18.869999999999997</v>
      </c>
    </row>
    <row r="13" spans="1:14" x14ac:dyDescent="0.25">
      <c r="A13" s="43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I13" s="43" t="s">
        <v>23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I15" s="43" t="s">
        <v>160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I17" s="43" t="s">
        <v>89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5">
      <c r="A18" s="43" t="s">
        <v>32</v>
      </c>
      <c r="B18" s="10">
        <v>13.96</v>
      </c>
      <c r="C18" s="10">
        <v>0</v>
      </c>
      <c r="D18" s="10">
        <v>0</v>
      </c>
      <c r="E18" s="10">
        <v>0</v>
      </c>
      <c r="F18" s="10">
        <v>13.96</v>
      </c>
      <c r="I18" s="43" t="s">
        <v>32</v>
      </c>
      <c r="J18" s="10">
        <v>20.52</v>
      </c>
      <c r="K18" s="10">
        <v>26.52</v>
      </c>
      <c r="L18" s="10">
        <v>0.53</v>
      </c>
      <c r="M18" s="10">
        <v>0.16</v>
      </c>
      <c r="N18" s="10">
        <v>47.73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33.5</v>
      </c>
      <c r="C21" s="126">
        <v>12.32</v>
      </c>
      <c r="D21" s="126">
        <v>4.41</v>
      </c>
      <c r="E21" s="126">
        <v>4.5449999999999999</v>
      </c>
      <c r="F21" s="126">
        <v>54.775000000000006</v>
      </c>
      <c r="I21" s="44" t="s">
        <v>33</v>
      </c>
      <c r="J21" s="126">
        <v>3068.0875000000001</v>
      </c>
      <c r="K21" s="126">
        <v>817.47333333333302</v>
      </c>
      <c r="L21" s="126">
        <v>302.93</v>
      </c>
      <c r="M21" s="126">
        <v>260.12</v>
      </c>
      <c r="N21" s="126">
        <v>4448.6108333333332</v>
      </c>
    </row>
    <row r="24" spans="1:14" ht="15.75" x14ac:dyDescent="0.25">
      <c r="A24" s="214" t="s">
        <v>173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100.57</v>
      </c>
      <c r="C26" s="10">
        <v>80.34</v>
      </c>
      <c r="D26" s="10">
        <v>23.42</v>
      </c>
      <c r="E26" s="10">
        <v>35.94</v>
      </c>
      <c r="F26" s="10">
        <v>240.26999999999998</v>
      </c>
    </row>
    <row r="27" spans="1:14" x14ac:dyDescent="0.25">
      <c r="A27" s="43" t="s">
        <v>43</v>
      </c>
      <c r="B27" s="10">
        <v>0</v>
      </c>
      <c r="C27" s="10">
        <v>1.6</v>
      </c>
      <c r="D27" s="10">
        <v>0</v>
      </c>
      <c r="E27" s="10">
        <v>0.68</v>
      </c>
      <c r="F27" s="10">
        <v>2.2800000000000002</v>
      </c>
    </row>
    <row r="28" spans="1:14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14" x14ac:dyDescent="0.25">
      <c r="A29" s="43" t="s">
        <v>14</v>
      </c>
      <c r="B29" s="10">
        <v>2925.5374999999999</v>
      </c>
      <c r="C29" s="10">
        <v>707.35333333333301</v>
      </c>
      <c r="D29" s="10">
        <v>282.52</v>
      </c>
      <c r="E29" s="10">
        <v>227.88499999999999</v>
      </c>
      <c r="F29" s="10">
        <v>4143.2958333333327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22.44</v>
      </c>
      <c r="C31" s="10">
        <v>13.73</v>
      </c>
      <c r="D31" s="10">
        <v>0.81</v>
      </c>
      <c r="E31" s="10">
        <v>0</v>
      </c>
      <c r="F31" s="10">
        <v>36.980000000000004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7" x14ac:dyDescent="0.25">
      <c r="A33" s="43" t="s">
        <v>19</v>
      </c>
      <c r="B33" s="10">
        <v>18.559999999999999</v>
      </c>
      <c r="C33" s="10">
        <v>0.25</v>
      </c>
      <c r="D33" s="10">
        <v>0.06</v>
      </c>
      <c r="E33" s="10">
        <v>0</v>
      </c>
      <c r="F33" s="10">
        <v>18.869999999999997</v>
      </c>
    </row>
    <row r="34" spans="1:7" x14ac:dyDescent="0.25">
      <c r="A34" s="43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7" x14ac:dyDescent="0.25">
      <c r="A36" s="43" t="s">
        <v>160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7" x14ac:dyDescent="0.25">
      <c r="A39" s="43" t="s">
        <v>32</v>
      </c>
      <c r="B39" s="10">
        <v>34.479999999999997</v>
      </c>
      <c r="C39" s="10">
        <v>26.52</v>
      </c>
      <c r="D39" s="10">
        <v>0.53</v>
      </c>
      <c r="E39" s="10">
        <v>0.16</v>
      </c>
      <c r="F39" s="10">
        <v>61.69</v>
      </c>
    </row>
    <row r="40" spans="1:7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3101.5875000000001</v>
      </c>
      <c r="C42" s="126">
        <v>829.79333333333295</v>
      </c>
      <c r="D42" s="126">
        <v>307.33999999999997</v>
      </c>
      <c r="E42" s="126">
        <v>264.66500000000002</v>
      </c>
      <c r="F42" s="126">
        <v>4503.3858333333328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0.41857077454530323</v>
      </c>
      <c r="C46" s="19">
        <f t="shared" ref="C46:F46" si="0">IFERROR(C26/$F26,"")</f>
        <v>0.33437382944187793</v>
      </c>
      <c r="D46" s="19">
        <f t="shared" si="0"/>
        <v>9.7473675448453839E-2</v>
      </c>
      <c r="E46" s="19">
        <f t="shared" si="0"/>
        <v>0.14958172056436508</v>
      </c>
      <c r="F46" s="19">
        <f t="shared" si="0"/>
        <v>1</v>
      </c>
      <c r="G46" s="19">
        <f>IFERROR(F26/$F$42,"")</f>
        <v>5.3353189997970049E-2</v>
      </c>
    </row>
    <row r="47" spans="1:7" x14ac:dyDescent="0.25">
      <c r="A47" s="43" t="s">
        <v>43</v>
      </c>
      <c r="B47" s="19">
        <f t="shared" ref="B47:F62" si="1">IFERROR(B27/$F27,"")</f>
        <v>0</v>
      </c>
      <c r="C47" s="19">
        <f t="shared" si="1"/>
        <v>0.70175438596491224</v>
      </c>
      <c r="D47" s="19">
        <f t="shared" si="1"/>
        <v>0</v>
      </c>
      <c r="E47" s="19">
        <f t="shared" si="1"/>
        <v>0.2982456140350877</v>
      </c>
      <c r="F47" s="19">
        <f t="shared" si="1"/>
        <v>1</v>
      </c>
      <c r="G47" s="19">
        <f t="shared" ref="G47:G61" si="2">IFERROR(F27/$F$42,"")</f>
        <v>5.0628573353049371E-4</v>
      </c>
    </row>
    <row r="48" spans="1:7" x14ac:dyDescent="0.25">
      <c r="A48" s="43" t="s">
        <v>13</v>
      </c>
      <c r="B48" s="19" t="str">
        <f t="shared" si="1"/>
        <v/>
      </c>
      <c r="C48" s="19" t="str">
        <f t="shared" si="1"/>
        <v/>
      </c>
      <c r="D48" s="19" t="str">
        <f t="shared" si="1"/>
        <v/>
      </c>
      <c r="E48" s="19" t="str">
        <f t="shared" si="1"/>
        <v/>
      </c>
      <c r="F48" s="19" t="str">
        <f t="shared" si="1"/>
        <v/>
      </c>
      <c r="G48" s="19">
        <f t="shared" si="2"/>
        <v>0</v>
      </c>
    </row>
    <row r="49" spans="1:7" x14ac:dyDescent="0.25">
      <c r="A49" s="43" t="s">
        <v>14</v>
      </c>
      <c r="B49" s="19">
        <f t="shared" si="1"/>
        <v>0.70608945575734305</v>
      </c>
      <c r="C49" s="19">
        <f t="shared" si="1"/>
        <v>0.17072238183973903</v>
      </c>
      <c r="D49" s="19">
        <f t="shared" si="1"/>
        <v>6.8187262354546654E-2</v>
      </c>
      <c r="E49" s="19">
        <f t="shared" si="1"/>
        <v>5.5000900048371319E-2</v>
      </c>
      <c r="F49" s="19">
        <f t="shared" si="1"/>
        <v>1</v>
      </c>
      <c r="G49" s="19">
        <f t="shared" si="2"/>
        <v>0.92004016237412478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0.60681449432125467</v>
      </c>
      <c r="C51" s="19">
        <f t="shared" si="1"/>
        <v>0.37128177393185502</v>
      </c>
      <c r="D51" s="19">
        <f t="shared" si="1"/>
        <v>2.1903731746890209E-2</v>
      </c>
      <c r="E51" s="19">
        <f t="shared" si="1"/>
        <v>0</v>
      </c>
      <c r="F51" s="19">
        <f t="shared" si="1"/>
        <v>1</v>
      </c>
      <c r="G51" s="19">
        <f t="shared" si="2"/>
        <v>8.2115993096305521E-3</v>
      </c>
    </row>
    <row r="52" spans="1:7" x14ac:dyDescent="0.25">
      <c r="A52" s="43" t="s">
        <v>18</v>
      </c>
      <c r="B52" s="19" t="str">
        <f t="shared" si="1"/>
        <v/>
      </c>
      <c r="C52" s="19" t="str">
        <f t="shared" si="1"/>
        <v/>
      </c>
      <c r="D52" s="19" t="str">
        <f t="shared" si="1"/>
        <v/>
      </c>
      <c r="E52" s="19" t="str">
        <f t="shared" si="1"/>
        <v/>
      </c>
      <c r="F52" s="19" t="str">
        <f t="shared" si="1"/>
        <v/>
      </c>
      <c r="G52" s="19">
        <f t="shared" si="2"/>
        <v>0</v>
      </c>
    </row>
    <row r="53" spans="1:7" x14ac:dyDescent="0.25">
      <c r="A53" s="43" t="s">
        <v>19</v>
      </c>
      <c r="B53" s="19">
        <f t="shared" si="1"/>
        <v>0.98357180710121894</v>
      </c>
      <c r="C53" s="19">
        <f t="shared" si="1"/>
        <v>1.3248542660307368E-2</v>
      </c>
      <c r="D53" s="19">
        <f t="shared" si="1"/>
        <v>3.1796502384737681E-3</v>
      </c>
      <c r="E53" s="19">
        <f t="shared" si="1"/>
        <v>0</v>
      </c>
      <c r="F53" s="19">
        <f t="shared" si="1"/>
        <v>1</v>
      </c>
      <c r="G53" s="19">
        <f t="shared" si="2"/>
        <v>4.1901806104036902E-3</v>
      </c>
    </row>
    <row r="54" spans="1:7" x14ac:dyDescent="0.25">
      <c r="A54" s="43" t="s">
        <v>23</v>
      </c>
      <c r="B54" s="19" t="str">
        <f t="shared" si="1"/>
        <v/>
      </c>
      <c r="C54" s="19" t="str">
        <f t="shared" si="1"/>
        <v/>
      </c>
      <c r="D54" s="19" t="str">
        <f t="shared" si="1"/>
        <v/>
      </c>
      <c r="E54" s="19" t="str">
        <f t="shared" si="1"/>
        <v/>
      </c>
      <c r="F54" s="19" t="str">
        <f t="shared" si="1"/>
        <v/>
      </c>
      <c r="G54" s="19">
        <f t="shared" si="2"/>
        <v>0</v>
      </c>
    </row>
    <row r="55" spans="1:7" x14ac:dyDescent="0.25">
      <c r="A55" s="43" t="s">
        <v>26</v>
      </c>
      <c r="B55" s="19" t="str">
        <f t="shared" si="1"/>
        <v/>
      </c>
      <c r="C55" s="19" t="str">
        <f t="shared" si="1"/>
        <v/>
      </c>
      <c r="D55" s="19" t="str">
        <f t="shared" si="1"/>
        <v/>
      </c>
      <c r="E55" s="19" t="str">
        <f t="shared" si="1"/>
        <v/>
      </c>
      <c r="F55" s="19" t="str">
        <f t="shared" si="1"/>
        <v/>
      </c>
      <c r="G55" s="19">
        <f t="shared" si="2"/>
        <v>0</v>
      </c>
    </row>
    <row r="56" spans="1:7" x14ac:dyDescent="0.25">
      <c r="A56" s="43" t="s">
        <v>160</v>
      </c>
      <c r="B56" s="19" t="str">
        <f t="shared" si="1"/>
        <v/>
      </c>
      <c r="C56" s="19" t="str">
        <f t="shared" si="1"/>
        <v/>
      </c>
      <c r="D56" s="19" t="str">
        <f t="shared" si="1"/>
        <v/>
      </c>
      <c r="E56" s="19" t="str">
        <f t="shared" si="1"/>
        <v/>
      </c>
      <c r="F56" s="19" t="str">
        <f t="shared" si="1"/>
        <v/>
      </c>
      <c r="G56" s="19">
        <f t="shared" si="2"/>
        <v>0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 t="str">
        <f t="shared" si="1"/>
        <v/>
      </c>
      <c r="C58" s="19" t="str">
        <f t="shared" si="1"/>
        <v/>
      </c>
      <c r="D58" s="19" t="str">
        <f t="shared" si="1"/>
        <v/>
      </c>
      <c r="E58" s="19" t="str">
        <f t="shared" si="1"/>
        <v/>
      </c>
      <c r="F58" s="19" t="str">
        <f t="shared" si="1"/>
        <v/>
      </c>
      <c r="G58" s="19">
        <f t="shared" si="2"/>
        <v>0</v>
      </c>
    </row>
    <row r="59" spans="1:7" x14ac:dyDescent="0.25">
      <c r="A59" s="43" t="s">
        <v>32</v>
      </c>
      <c r="B59" s="19">
        <f t="shared" si="1"/>
        <v>0.55892365051061754</v>
      </c>
      <c r="C59" s="19">
        <f t="shared" si="1"/>
        <v>0.42989139244610147</v>
      </c>
      <c r="D59" s="19">
        <f t="shared" si="1"/>
        <v>8.5913438158534625E-3</v>
      </c>
      <c r="E59" s="19">
        <f t="shared" si="1"/>
        <v>2.5936132274274599E-3</v>
      </c>
      <c r="F59" s="19">
        <f t="shared" si="1"/>
        <v>1</v>
      </c>
      <c r="G59" s="19">
        <f t="shared" si="2"/>
        <v>1.3698581974340419E-2</v>
      </c>
    </row>
    <row r="60" spans="1:7" x14ac:dyDescent="0.25">
      <c r="A60" s="43" t="s">
        <v>90</v>
      </c>
      <c r="B60" s="19" t="str">
        <f t="shared" si="1"/>
        <v/>
      </c>
      <c r="C60" s="19" t="str">
        <f t="shared" si="1"/>
        <v/>
      </c>
      <c r="D60" s="19" t="str">
        <f t="shared" si="1"/>
        <v/>
      </c>
      <c r="E60" s="19" t="str">
        <f t="shared" si="1"/>
        <v/>
      </c>
      <c r="F60" s="19" t="str">
        <f t="shared" si="1"/>
        <v/>
      </c>
      <c r="G60" s="19">
        <f t="shared" si="2"/>
        <v>0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 t="shared" si="1"/>
        <v>0.68872346602917112</v>
      </c>
      <c r="C62" s="46">
        <f t="shared" si="1"/>
        <v>0.18425988001990348</v>
      </c>
      <c r="D62" s="46">
        <f t="shared" si="1"/>
        <v>6.8246428659325398E-2</v>
      </c>
      <c r="E62" s="46">
        <f t="shared" si="1"/>
        <v>5.8770225291600052E-2</v>
      </c>
      <c r="F62" s="46">
        <f t="shared" si="1"/>
        <v>1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37" workbookViewId="0">
      <selection activeCell="H46" sqref="H46"/>
    </sheetView>
  </sheetViews>
  <sheetFormatPr baseColWidth="10" defaultRowHeight="15" x14ac:dyDescent="0.25"/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4" t="s">
        <v>176</v>
      </c>
      <c r="B3" s="212"/>
      <c r="I3" s="214" t="s">
        <v>177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206.31</v>
      </c>
      <c r="C5" s="10">
        <v>151.22</v>
      </c>
      <c r="D5" s="10">
        <v>119.89</v>
      </c>
      <c r="E5" s="10">
        <v>204.24</v>
      </c>
      <c r="F5" s="10">
        <v>681.66</v>
      </c>
      <c r="I5" s="43" t="s">
        <v>4</v>
      </c>
      <c r="J5" s="10">
        <v>1068.0150000000001</v>
      </c>
      <c r="K5" s="10">
        <v>590.03</v>
      </c>
      <c r="L5" s="10">
        <v>385.07</v>
      </c>
      <c r="M5" s="10">
        <v>342.43699999999899</v>
      </c>
      <c r="N5" s="10">
        <v>2385.5519999999988</v>
      </c>
    </row>
    <row r="6" spans="1:14" x14ac:dyDescent="0.25">
      <c r="A6" s="43" t="s">
        <v>43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I6" s="43" t="s">
        <v>43</v>
      </c>
      <c r="J6" s="10">
        <v>1.75</v>
      </c>
      <c r="K6" s="10">
        <v>0</v>
      </c>
      <c r="L6" s="10">
        <v>0</v>
      </c>
      <c r="M6" s="10">
        <v>0</v>
      </c>
      <c r="N6" s="10">
        <v>1.75</v>
      </c>
    </row>
    <row r="7" spans="1:14" x14ac:dyDescent="0.25">
      <c r="A7" s="43" t="s">
        <v>13</v>
      </c>
      <c r="B7" s="10">
        <v>0</v>
      </c>
      <c r="C7" s="10">
        <v>0.02</v>
      </c>
      <c r="D7" s="10">
        <v>0</v>
      </c>
      <c r="E7" s="10">
        <v>0.05</v>
      </c>
      <c r="F7" s="10">
        <v>7.0000000000000007E-2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53.613333333333301</v>
      </c>
      <c r="C8" s="10">
        <v>39.18</v>
      </c>
      <c r="D8" s="10">
        <v>11.16</v>
      </c>
      <c r="E8" s="10">
        <v>15.658333333333299</v>
      </c>
      <c r="F8" s="10">
        <v>119.61166666666659</v>
      </c>
      <c r="I8" s="43" t="s">
        <v>14</v>
      </c>
      <c r="J8" s="10">
        <v>5102.7300000000196</v>
      </c>
      <c r="K8" s="10">
        <v>2390.0650000000001</v>
      </c>
      <c r="L8" s="10">
        <v>793.88999999999896</v>
      </c>
      <c r="M8" s="10">
        <v>314.67500000000001</v>
      </c>
      <c r="N8" s="10">
        <v>8601.3600000000188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6.07</v>
      </c>
      <c r="C10" s="10">
        <v>2.11</v>
      </c>
      <c r="D10" s="10">
        <v>1.3</v>
      </c>
      <c r="E10" s="10">
        <v>0</v>
      </c>
      <c r="F10" s="10">
        <v>9.48</v>
      </c>
      <c r="I10" s="43" t="s">
        <v>39</v>
      </c>
      <c r="J10" s="10">
        <v>25.1</v>
      </c>
      <c r="K10" s="10">
        <v>20.75</v>
      </c>
      <c r="L10" s="10">
        <v>16.260000000000002</v>
      </c>
      <c r="M10" s="10">
        <v>5.43</v>
      </c>
      <c r="N10" s="10">
        <v>67.539999999999992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0.15</v>
      </c>
      <c r="F11" s="10">
        <v>0.15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0.1</v>
      </c>
      <c r="C12" s="10">
        <v>0.13</v>
      </c>
      <c r="D12" s="10">
        <v>0.04</v>
      </c>
      <c r="E12" s="10">
        <v>0.03</v>
      </c>
      <c r="F12" s="10">
        <v>0.30000000000000004</v>
      </c>
      <c r="I12" s="43" t="s">
        <v>19</v>
      </c>
      <c r="J12" s="10">
        <v>27.24</v>
      </c>
      <c r="K12" s="10">
        <v>1.1100000000000001</v>
      </c>
      <c r="L12" s="10">
        <v>0.75</v>
      </c>
      <c r="M12" s="10">
        <v>0.53</v>
      </c>
      <c r="N12" s="10">
        <v>29.63</v>
      </c>
    </row>
    <row r="13" spans="1:14" x14ac:dyDescent="0.25">
      <c r="A13" s="43" t="s">
        <v>23</v>
      </c>
      <c r="B13" s="10">
        <v>0.03</v>
      </c>
      <c r="C13" s="10">
        <v>0.27</v>
      </c>
      <c r="D13" s="10">
        <v>0.19</v>
      </c>
      <c r="E13" s="10">
        <v>0.3</v>
      </c>
      <c r="F13" s="10">
        <v>0.79</v>
      </c>
      <c r="I13" s="43" t="s">
        <v>23</v>
      </c>
      <c r="J13" s="10">
        <v>0</v>
      </c>
      <c r="K13" s="10">
        <v>0</v>
      </c>
      <c r="L13" s="10">
        <v>0</v>
      </c>
      <c r="M13" s="10">
        <v>0.28000000000000003</v>
      </c>
      <c r="N13" s="10">
        <v>0.28000000000000003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0.02</v>
      </c>
      <c r="F14" s="10">
        <v>0.02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7.37</v>
      </c>
      <c r="C15" s="10">
        <v>0.7</v>
      </c>
      <c r="D15" s="10">
        <v>0.505</v>
      </c>
      <c r="E15" s="10">
        <v>0.96199999999999997</v>
      </c>
      <c r="F15" s="10">
        <v>9.5370000000000008</v>
      </c>
      <c r="I15" s="43" t="s">
        <v>160</v>
      </c>
      <c r="J15" s="10">
        <v>33.037500000000001</v>
      </c>
      <c r="K15" s="10">
        <v>7.5380000000000003</v>
      </c>
      <c r="L15" s="10">
        <v>4.45</v>
      </c>
      <c r="M15" s="10">
        <v>3.77</v>
      </c>
      <c r="N15" s="10">
        <v>48.795500000000011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0.01</v>
      </c>
      <c r="C17" s="10">
        <v>0</v>
      </c>
      <c r="D17" s="10">
        <v>0</v>
      </c>
      <c r="E17" s="10">
        <v>0</v>
      </c>
      <c r="F17" s="10">
        <v>0.01</v>
      </c>
      <c r="I17" s="43" t="s">
        <v>89</v>
      </c>
      <c r="J17" s="10">
        <v>29.41</v>
      </c>
      <c r="K17" s="10">
        <v>0</v>
      </c>
      <c r="L17" s="10">
        <v>0.56999999999999995</v>
      </c>
      <c r="M17" s="10">
        <v>0</v>
      </c>
      <c r="N17" s="10">
        <v>29.98</v>
      </c>
    </row>
    <row r="18" spans="1:14" x14ac:dyDescent="0.25">
      <c r="A18" s="43" t="s">
        <v>32</v>
      </c>
      <c r="B18" s="10">
        <v>382.04833333333301</v>
      </c>
      <c r="C18" s="10">
        <v>244.2</v>
      </c>
      <c r="D18" s="10">
        <v>73.31</v>
      </c>
      <c r="E18" s="10">
        <v>110.94</v>
      </c>
      <c r="F18" s="10">
        <v>810.49833333333299</v>
      </c>
      <c r="I18" s="43" t="s">
        <v>32</v>
      </c>
      <c r="J18" s="10">
        <v>7374.32</v>
      </c>
      <c r="K18" s="10">
        <v>3292.6400000000099</v>
      </c>
      <c r="L18" s="10">
        <v>1115.5350000000001</v>
      </c>
      <c r="M18" s="10">
        <v>620.94499999999903</v>
      </c>
      <c r="N18" s="10">
        <v>12403.44000000001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655.55166666666696</v>
      </c>
      <c r="C21" s="126">
        <v>437.83</v>
      </c>
      <c r="D21" s="126">
        <v>206.39500000000001</v>
      </c>
      <c r="E21" s="126">
        <v>332.35033333333303</v>
      </c>
      <c r="F21" s="126">
        <v>1632.127</v>
      </c>
      <c r="I21" s="44" t="s">
        <v>33</v>
      </c>
      <c r="J21" s="126">
        <v>13661.602500000001</v>
      </c>
      <c r="K21" s="126">
        <v>6302.1329999999998</v>
      </c>
      <c r="L21" s="126">
        <v>2316.5250000000001</v>
      </c>
      <c r="M21" s="126">
        <v>1288.067</v>
      </c>
      <c r="N21" s="126">
        <v>23568.327500000003</v>
      </c>
    </row>
    <row r="24" spans="1:14" ht="15.75" x14ac:dyDescent="0.25">
      <c r="A24" s="214" t="s">
        <v>178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1274.325</v>
      </c>
      <c r="C26" s="10">
        <v>741.25</v>
      </c>
      <c r="D26" s="10">
        <v>504.96</v>
      </c>
      <c r="E26" s="10">
        <v>546.67700000000002</v>
      </c>
      <c r="F26" s="10">
        <v>3067.212</v>
      </c>
    </row>
    <row r="27" spans="1:14" x14ac:dyDescent="0.25">
      <c r="A27" s="43" t="s">
        <v>43</v>
      </c>
      <c r="B27" s="10">
        <v>1.75</v>
      </c>
      <c r="C27" s="10">
        <v>0</v>
      </c>
      <c r="D27" s="10">
        <v>0</v>
      </c>
      <c r="E27" s="10">
        <v>0</v>
      </c>
      <c r="F27" s="10">
        <v>1.75</v>
      </c>
    </row>
    <row r="28" spans="1:14" x14ac:dyDescent="0.25">
      <c r="A28" s="43" t="s">
        <v>13</v>
      </c>
      <c r="B28" s="10">
        <v>0</v>
      </c>
      <c r="C28" s="10">
        <v>0.02</v>
      </c>
      <c r="D28" s="10">
        <v>0</v>
      </c>
      <c r="E28" s="10">
        <v>0.05</v>
      </c>
      <c r="F28" s="10">
        <v>7.0000000000000007E-2</v>
      </c>
    </row>
    <row r="29" spans="1:14" x14ac:dyDescent="0.25">
      <c r="A29" s="43" t="s">
        <v>14</v>
      </c>
      <c r="B29" s="10">
        <v>5156.3433333333296</v>
      </c>
      <c r="C29" s="10">
        <v>2429.2449999999999</v>
      </c>
      <c r="D29" s="10">
        <v>805.05</v>
      </c>
      <c r="E29" s="10">
        <v>330.33333333333297</v>
      </c>
      <c r="F29" s="10">
        <v>8720.9716666666609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31.17</v>
      </c>
      <c r="C31" s="10">
        <v>22.86</v>
      </c>
      <c r="D31" s="10">
        <v>17.559999999999999</v>
      </c>
      <c r="E31" s="10">
        <v>5.43</v>
      </c>
      <c r="F31" s="10">
        <v>77.02000000000001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0.15</v>
      </c>
      <c r="F32" s="10">
        <v>0.15</v>
      </c>
    </row>
    <row r="33" spans="1:7" x14ac:dyDescent="0.25">
      <c r="A33" s="43" t="s">
        <v>19</v>
      </c>
      <c r="B33" s="10">
        <v>27.34</v>
      </c>
      <c r="C33" s="10">
        <v>1.24</v>
      </c>
      <c r="D33" s="10">
        <v>0.79</v>
      </c>
      <c r="E33" s="10">
        <v>0.56000000000000005</v>
      </c>
      <c r="F33" s="10">
        <v>29.929999999999996</v>
      </c>
    </row>
    <row r="34" spans="1:7" x14ac:dyDescent="0.25">
      <c r="A34" s="43" t="s">
        <v>23</v>
      </c>
      <c r="B34" s="10">
        <v>0.03</v>
      </c>
      <c r="C34" s="10">
        <v>0.27</v>
      </c>
      <c r="D34" s="10">
        <v>0.19</v>
      </c>
      <c r="E34" s="10">
        <v>0.57999999999999996</v>
      </c>
      <c r="F34" s="10">
        <v>1.07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0.02</v>
      </c>
      <c r="F35" s="10">
        <v>0.02</v>
      </c>
    </row>
    <row r="36" spans="1:7" x14ac:dyDescent="0.25">
      <c r="A36" s="43" t="s">
        <v>160</v>
      </c>
      <c r="B36" s="10">
        <v>40.407499999999999</v>
      </c>
      <c r="C36" s="10">
        <v>8.2379999999999995</v>
      </c>
      <c r="D36" s="10">
        <v>4.9550000000000001</v>
      </c>
      <c r="E36" s="10">
        <v>4.7320000000000002</v>
      </c>
      <c r="F36" s="10">
        <v>58.332499999999996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29.42</v>
      </c>
      <c r="C38" s="10">
        <v>0</v>
      </c>
      <c r="D38" s="10">
        <v>0.56999999999999995</v>
      </c>
      <c r="E38" s="10">
        <v>0</v>
      </c>
      <c r="F38" s="10">
        <v>29.990000000000002</v>
      </c>
    </row>
    <row r="39" spans="1:7" x14ac:dyDescent="0.25">
      <c r="A39" s="43" t="s">
        <v>32</v>
      </c>
      <c r="B39" s="10">
        <v>7756.3683333333302</v>
      </c>
      <c r="C39" s="10">
        <v>3536.84</v>
      </c>
      <c r="D39" s="10">
        <v>1188.845</v>
      </c>
      <c r="E39" s="10">
        <v>731.88499999999999</v>
      </c>
      <c r="F39" s="10">
        <v>13213.93833333333</v>
      </c>
    </row>
    <row r="40" spans="1:7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14317.1541666667</v>
      </c>
      <c r="C42" s="126">
        <v>6739.9629999999997</v>
      </c>
      <c r="D42" s="126">
        <v>2522.92</v>
      </c>
      <c r="E42" s="126">
        <v>1620.4173333333299</v>
      </c>
      <c r="F42" s="126">
        <v>25200.454500000029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0.41546688002003124</v>
      </c>
      <c r="C46" s="19">
        <f t="shared" ref="C46:F46" si="0">IFERROR(C26/$F26,"")</f>
        <v>0.24166898147242513</v>
      </c>
      <c r="D46" s="19">
        <f t="shared" si="0"/>
        <v>0.16463159377310729</v>
      </c>
      <c r="E46" s="19">
        <f t="shared" si="0"/>
        <v>0.17823254473443637</v>
      </c>
      <c r="F46" s="19">
        <f t="shared" si="0"/>
        <v>1</v>
      </c>
      <c r="G46" s="19">
        <f>IFERROR(F26/$F$42,"")</f>
        <v>0.12171256673168321</v>
      </c>
    </row>
    <row r="47" spans="1:7" x14ac:dyDescent="0.25">
      <c r="A47" s="43" t="s">
        <v>43</v>
      </c>
      <c r="B47" s="19">
        <f t="shared" ref="B47:F62" si="1">IFERROR(B27/$F27,"")</f>
        <v>1</v>
      </c>
      <c r="C47" s="19">
        <f t="shared" si="1"/>
        <v>0</v>
      </c>
      <c r="D47" s="19">
        <f t="shared" si="1"/>
        <v>0</v>
      </c>
      <c r="E47" s="19">
        <f t="shared" si="1"/>
        <v>0</v>
      </c>
      <c r="F47" s="19">
        <f t="shared" si="1"/>
        <v>1</v>
      </c>
      <c r="G47" s="19">
        <f t="shared" ref="G47:G61" si="2">IFERROR(F27/$F$42,"")</f>
        <v>6.9443191986874605E-5</v>
      </c>
    </row>
    <row r="48" spans="1:7" x14ac:dyDescent="0.25">
      <c r="A48" s="43" t="s">
        <v>13</v>
      </c>
      <c r="B48" s="19">
        <f t="shared" si="1"/>
        <v>0</v>
      </c>
      <c r="C48" s="19">
        <f t="shared" si="1"/>
        <v>0.2857142857142857</v>
      </c>
      <c r="D48" s="19">
        <f t="shared" si="1"/>
        <v>0</v>
      </c>
      <c r="E48" s="19">
        <f t="shared" si="1"/>
        <v>0.7142857142857143</v>
      </c>
      <c r="F48" s="19">
        <f t="shared" si="1"/>
        <v>1</v>
      </c>
      <c r="G48" s="19">
        <f t="shared" si="2"/>
        <v>2.7777276794749841E-6</v>
      </c>
    </row>
    <row r="49" spans="1:7" x14ac:dyDescent="0.25">
      <c r="A49" s="43" t="s">
        <v>14</v>
      </c>
      <c r="B49" s="19">
        <f t="shared" si="1"/>
        <v>0.59125789309027676</v>
      </c>
      <c r="C49" s="19">
        <f t="shared" si="1"/>
        <v>0.27855210323467416</v>
      </c>
      <c r="D49" s="19">
        <f t="shared" si="1"/>
        <v>9.2311961415614485E-2</v>
      </c>
      <c r="E49" s="19">
        <f t="shared" si="1"/>
        <v>3.7878042259434759E-2</v>
      </c>
      <c r="F49" s="19">
        <f t="shared" si="1"/>
        <v>1</v>
      </c>
      <c r="G49" s="19">
        <f t="shared" si="2"/>
        <v>0.34606406272024381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0.40470007790184365</v>
      </c>
      <c r="C51" s="19">
        <f t="shared" si="1"/>
        <v>0.29680602440924431</v>
      </c>
      <c r="D51" s="19">
        <f t="shared" si="1"/>
        <v>0.22799272916125676</v>
      </c>
      <c r="E51" s="19">
        <f t="shared" si="1"/>
        <v>7.0501168527655145E-2</v>
      </c>
      <c r="F51" s="19">
        <f t="shared" si="1"/>
        <v>1</v>
      </c>
      <c r="G51" s="19">
        <f t="shared" si="2"/>
        <v>3.0562940839023328E-3</v>
      </c>
    </row>
    <row r="52" spans="1:7" x14ac:dyDescent="0.25">
      <c r="A52" s="43" t="s">
        <v>18</v>
      </c>
      <c r="B52" s="19">
        <f t="shared" si="1"/>
        <v>0</v>
      </c>
      <c r="C52" s="19">
        <f t="shared" si="1"/>
        <v>0</v>
      </c>
      <c r="D52" s="19">
        <f t="shared" si="1"/>
        <v>0</v>
      </c>
      <c r="E52" s="19">
        <f t="shared" si="1"/>
        <v>1</v>
      </c>
      <c r="F52" s="19">
        <f t="shared" si="1"/>
        <v>1</v>
      </c>
      <c r="G52" s="19">
        <f t="shared" si="2"/>
        <v>5.9522735988749655E-6</v>
      </c>
    </row>
    <row r="53" spans="1:7" x14ac:dyDescent="0.25">
      <c r="A53" s="43" t="s">
        <v>19</v>
      </c>
      <c r="B53" s="19">
        <f t="shared" si="1"/>
        <v>0.91346475108586711</v>
      </c>
      <c r="C53" s="19">
        <f t="shared" si="1"/>
        <v>4.1430003341129305E-2</v>
      </c>
      <c r="D53" s="19">
        <f t="shared" si="1"/>
        <v>2.6394921483461415E-2</v>
      </c>
      <c r="E53" s="19">
        <f t="shared" si="1"/>
        <v>1.871032408954227E-2</v>
      </c>
      <c r="F53" s="19">
        <f t="shared" si="1"/>
        <v>1</v>
      </c>
      <c r="G53" s="19">
        <f t="shared" si="2"/>
        <v>1.1876769920955181E-3</v>
      </c>
    </row>
    <row r="54" spans="1:7" x14ac:dyDescent="0.25">
      <c r="A54" s="43" t="s">
        <v>23</v>
      </c>
      <c r="B54" s="19">
        <f t="shared" si="1"/>
        <v>2.803738317757009E-2</v>
      </c>
      <c r="C54" s="19">
        <f t="shared" si="1"/>
        <v>0.25233644859813087</v>
      </c>
      <c r="D54" s="19">
        <f t="shared" si="1"/>
        <v>0.17757009345794392</v>
      </c>
      <c r="E54" s="19">
        <f t="shared" si="1"/>
        <v>0.54205607476635509</v>
      </c>
      <c r="F54" s="19">
        <f t="shared" si="1"/>
        <v>1</v>
      </c>
      <c r="G54" s="19">
        <f t="shared" si="2"/>
        <v>4.2459551671974759E-5</v>
      </c>
    </row>
    <row r="55" spans="1:7" x14ac:dyDescent="0.25">
      <c r="A55" s="43" t="s">
        <v>26</v>
      </c>
      <c r="B55" s="19">
        <f t="shared" si="1"/>
        <v>0</v>
      </c>
      <c r="C55" s="19">
        <f t="shared" si="1"/>
        <v>0</v>
      </c>
      <c r="D55" s="19">
        <f t="shared" si="1"/>
        <v>0</v>
      </c>
      <c r="E55" s="19">
        <f t="shared" si="1"/>
        <v>1</v>
      </c>
      <c r="F55" s="19">
        <f t="shared" si="1"/>
        <v>1</v>
      </c>
      <c r="G55" s="19">
        <f t="shared" si="2"/>
        <v>7.9363647984999544E-7</v>
      </c>
    </row>
    <row r="56" spans="1:7" x14ac:dyDescent="0.25">
      <c r="A56" s="43" t="s">
        <v>160</v>
      </c>
      <c r="B56" s="19">
        <f t="shared" si="1"/>
        <v>0.69270989585565512</v>
      </c>
      <c r="C56" s="19">
        <f t="shared" si="1"/>
        <v>0.14122487464106631</v>
      </c>
      <c r="D56" s="19">
        <f t="shared" si="1"/>
        <v>8.4944070629580426E-2</v>
      </c>
      <c r="E56" s="19">
        <f t="shared" si="1"/>
        <v>8.112115887369821E-2</v>
      </c>
      <c r="F56" s="19">
        <f t="shared" si="1"/>
        <v>1</v>
      </c>
      <c r="G56" s="19">
        <f t="shared" si="2"/>
        <v>2.314739998042493E-3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>
        <f t="shared" si="1"/>
        <v>0.9809936645548516</v>
      </c>
      <c r="C58" s="19">
        <f t="shared" si="1"/>
        <v>0</v>
      </c>
      <c r="D58" s="19">
        <f t="shared" si="1"/>
        <v>1.9006335445148379E-2</v>
      </c>
      <c r="E58" s="19">
        <f t="shared" si="1"/>
        <v>0</v>
      </c>
      <c r="F58" s="19">
        <f t="shared" si="1"/>
        <v>1</v>
      </c>
      <c r="G58" s="19">
        <f t="shared" si="2"/>
        <v>1.1900579015350682E-3</v>
      </c>
    </row>
    <row r="59" spans="1:7" x14ac:dyDescent="0.25">
      <c r="A59" s="43" t="s">
        <v>32</v>
      </c>
      <c r="B59" s="19">
        <f t="shared" si="1"/>
        <v>0.58698384521495794</v>
      </c>
      <c r="C59" s="19">
        <f t="shared" si="1"/>
        <v>0.26765979307456039</v>
      </c>
      <c r="D59" s="19">
        <f t="shared" si="1"/>
        <v>8.9969013780019938E-2</v>
      </c>
      <c r="E59" s="19">
        <f t="shared" si="1"/>
        <v>5.5387347930461822E-2</v>
      </c>
      <c r="F59" s="19">
        <f t="shared" si="1"/>
        <v>1</v>
      </c>
      <c r="G59" s="19">
        <f t="shared" si="2"/>
        <v>0.52435317519107894</v>
      </c>
    </row>
    <row r="60" spans="1:7" x14ac:dyDescent="0.25">
      <c r="A60" s="43" t="s">
        <v>90</v>
      </c>
      <c r="B60" s="19" t="str">
        <f t="shared" si="1"/>
        <v/>
      </c>
      <c r="C60" s="19" t="str">
        <f t="shared" si="1"/>
        <v/>
      </c>
      <c r="D60" s="19" t="str">
        <f t="shared" si="1"/>
        <v/>
      </c>
      <c r="E60" s="19" t="str">
        <f t="shared" si="1"/>
        <v/>
      </c>
      <c r="F60" s="19" t="str">
        <f t="shared" si="1"/>
        <v/>
      </c>
      <c r="G60" s="19">
        <f t="shared" si="2"/>
        <v>0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>IFERROR(B42/$F42,"")</f>
        <v>0.56813079171515268</v>
      </c>
      <c r="C62" s="46">
        <f t="shared" si="1"/>
        <v>0.26745402548196073</v>
      </c>
      <c r="D62" s="46">
        <f t="shared" si="1"/>
        <v>0.10011406738715753</v>
      </c>
      <c r="E62" s="46">
        <f t="shared" si="1"/>
        <v>6.4301115415729027E-2</v>
      </c>
      <c r="F62" s="46">
        <f t="shared" si="1"/>
        <v>1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40" workbookViewId="0">
      <selection activeCell="F1" sqref="F1:G1"/>
    </sheetView>
  </sheetViews>
  <sheetFormatPr baseColWidth="10" defaultRowHeight="15" x14ac:dyDescent="0.25"/>
  <cols>
    <col min="1" max="1" width="16.42578125" customWidth="1"/>
    <col min="9" max="9" width="16.5703125" customWidth="1"/>
  </cols>
  <sheetData>
    <row r="1" spans="1:14" ht="18.75" x14ac:dyDescent="0.3">
      <c r="C1" s="213" t="s">
        <v>145</v>
      </c>
      <c r="D1" s="213"/>
      <c r="E1" s="213"/>
      <c r="F1" s="30" t="s">
        <v>51</v>
      </c>
      <c r="G1" s="182" t="s">
        <v>52</v>
      </c>
      <c r="H1" s="30" t="s">
        <v>159</v>
      </c>
      <c r="I1" t="s">
        <v>182</v>
      </c>
    </row>
    <row r="3" spans="1:14" ht="15.75" x14ac:dyDescent="0.25">
      <c r="A3" s="214" t="s">
        <v>179</v>
      </c>
      <c r="B3" s="212"/>
      <c r="I3" s="214" t="s">
        <v>180</v>
      </c>
      <c r="J3" s="212"/>
    </row>
    <row r="4" spans="1:14" ht="15.75" x14ac:dyDescent="0.25">
      <c r="A4" s="42" t="s">
        <v>56</v>
      </c>
      <c r="B4" s="42" t="s">
        <v>162</v>
      </c>
      <c r="C4" s="42" t="s">
        <v>57</v>
      </c>
      <c r="D4" s="42" t="s">
        <v>58</v>
      </c>
      <c r="E4" s="42" t="s">
        <v>163</v>
      </c>
      <c r="F4" s="42" t="s">
        <v>59</v>
      </c>
      <c r="I4" s="42" t="s">
        <v>56</v>
      </c>
      <c r="J4" s="42" t="s">
        <v>162</v>
      </c>
      <c r="K4" s="42" t="s">
        <v>57</v>
      </c>
      <c r="L4" s="42" t="s">
        <v>58</v>
      </c>
      <c r="M4" s="42" t="s">
        <v>163</v>
      </c>
      <c r="N4" s="42" t="s">
        <v>59</v>
      </c>
    </row>
    <row r="5" spans="1:14" x14ac:dyDescent="0.25">
      <c r="A5" s="43" t="s">
        <v>4</v>
      </c>
      <c r="B5" s="10">
        <v>12.37</v>
      </c>
      <c r="C5" s="10">
        <v>11.77</v>
      </c>
      <c r="D5" s="10">
        <v>5.3</v>
      </c>
      <c r="E5" s="10">
        <v>4.45</v>
      </c>
      <c r="F5" s="10">
        <v>33.89</v>
      </c>
      <c r="I5" s="43" t="s">
        <v>4</v>
      </c>
      <c r="J5" s="10">
        <v>438.24</v>
      </c>
      <c r="K5" s="10">
        <v>138.04</v>
      </c>
      <c r="L5" s="10">
        <v>23.85</v>
      </c>
      <c r="M5" s="10">
        <v>4.66</v>
      </c>
      <c r="N5" s="10">
        <v>604.79</v>
      </c>
    </row>
    <row r="6" spans="1:14" x14ac:dyDescent="0.25">
      <c r="A6" s="43" t="s">
        <v>43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I6" s="43" t="s">
        <v>43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</row>
    <row r="7" spans="1:14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I7" s="43" t="s">
        <v>13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</row>
    <row r="8" spans="1:14" x14ac:dyDescent="0.25">
      <c r="A8" s="43" t="s">
        <v>14</v>
      </c>
      <c r="B8" s="10">
        <v>1.6850000000000001</v>
      </c>
      <c r="C8" s="10">
        <v>1.77</v>
      </c>
      <c r="D8" s="10">
        <v>0.51</v>
      </c>
      <c r="E8" s="10">
        <v>0.75</v>
      </c>
      <c r="F8" s="10">
        <v>4.7149999999999999</v>
      </c>
      <c r="I8" s="43" t="s">
        <v>14</v>
      </c>
      <c r="J8" s="10">
        <v>227.12</v>
      </c>
      <c r="K8" s="10">
        <v>99.133333333333297</v>
      </c>
      <c r="L8" s="10">
        <v>33.97</v>
      </c>
      <c r="M8" s="10">
        <v>9.49</v>
      </c>
      <c r="N8" s="10">
        <v>369.71333333333337</v>
      </c>
    </row>
    <row r="9" spans="1:14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I9" s="43" t="s">
        <v>36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x14ac:dyDescent="0.25">
      <c r="A10" s="43" t="s">
        <v>39</v>
      </c>
      <c r="B10" s="10">
        <v>0</v>
      </c>
      <c r="C10" s="10">
        <v>0.03</v>
      </c>
      <c r="D10" s="10">
        <v>0</v>
      </c>
      <c r="E10" s="10">
        <v>0.02</v>
      </c>
      <c r="F10" s="10">
        <v>0.05</v>
      </c>
      <c r="I10" s="43" t="s">
        <v>39</v>
      </c>
      <c r="J10" s="10">
        <v>3.51</v>
      </c>
      <c r="K10" s="10">
        <v>3.55</v>
      </c>
      <c r="L10" s="10">
        <v>0</v>
      </c>
      <c r="M10" s="10">
        <v>0</v>
      </c>
      <c r="N10" s="10">
        <v>7.06</v>
      </c>
    </row>
    <row r="11" spans="1:14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I11" s="43" t="s">
        <v>18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x14ac:dyDescent="0.25">
      <c r="A12" s="43" t="s">
        <v>19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I12" s="43" t="s">
        <v>19</v>
      </c>
      <c r="J12" s="10">
        <v>0.37</v>
      </c>
      <c r="K12" s="10">
        <v>0.06</v>
      </c>
      <c r="L12" s="10">
        <v>0</v>
      </c>
      <c r="M12" s="10">
        <v>0</v>
      </c>
      <c r="N12" s="10">
        <v>0.43</v>
      </c>
    </row>
    <row r="13" spans="1:14" x14ac:dyDescent="0.25">
      <c r="A13" s="43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I13" s="43" t="s">
        <v>23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</row>
    <row r="14" spans="1:14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I14" s="43" t="s">
        <v>26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43" t="s">
        <v>160</v>
      </c>
      <c r="B15" s="10">
        <v>0</v>
      </c>
      <c r="C15" s="10">
        <v>0</v>
      </c>
      <c r="D15" s="10">
        <v>0.46500000000000002</v>
      </c>
      <c r="E15" s="10">
        <v>0</v>
      </c>
      <c r="F15" s="10">
        <v>0.46500000000000002</v>
      </c>
      <c r="I15" s="43" t="s">
        <v>160</v>
      </c>
      <c r="J15" s="10">
        <v>0.28000000000000003</v>
      </c>
      <c r="K15" s="10">
        <v>0.06</v>
      </c>
      <c r="L15" s="10">
        <v>0</v>
      </c>
      <c r="M15" s="10">
        <v>0.41</v>
      </c>
      <c r="N15" s="10">
        <v>0.75</v>
      </c>
    </row>
    <row r="16" spans="1:14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I16" s="43" t="s">
        <v>161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</row>
    <row r="17" spans="1:14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I17" s="43" t="s">
        <v>89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</row>
    <row r="18" spans="1:14" x14ac:dyDescent="0.25">
      <c r="A18" s="43" t="s">
        <v>32</v>
      </c>
      <c r="B18" s="10">
        <v>24.55</v>
      </c>
      <c r="C18" s="10">
        <v>9.15</v>
      </c>
      <c r="D18" s="10">
        <v>1.68</v>
      </c>
      <c r="E18" s="10">
        <v>2.64</v>
      </c>
      <c r="F18" s="10">
        <v>38.020000000000003</v>
      </c>
      <c r="I18" s="43" t="s">
        <v>32</v>
      </c>
      <c r="J18" s="10">
        <v>457.42500000000001</v>
      </c>
      <c r="K18" s="10">
        <v>241.16</v>
      </c>
      <c r="L18" s="10">
        <v>48.47</v>
      </c>
      <c r="M18" s="10">
        <v>8.1300000000000008</v>
      </c>
      <c r="N18" s="10">
        <v>755.18500000000006</v>
      </c>
    </row>
    <row r="19" spans="1:14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I19" s="43" t="s">
        <v>90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</row>
    <row r="20" spans="1:14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I20" s="43" t="s">
        <v>91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</row>
    <row r="21" spans="1:14" x14ac:dyDescent="0.25">
      <c r="A21" s="44" t="s">
        <v>33</v>
      </c>
      <c r="B21" s="126">
        <v>38.604999999999997</v>
      </c>
      <c r="C21" s="126">
        <v>22.72</v>
      </c>
      <c r="D21" s="126">
        <v>7.9550000000000001</v>
      </c>
      <c r="E21" s="126">
        <v>7.86</v>
      </c>
      <c r="F21" s="126">
        <v>77.14</v>
      </c>
      <c r="I21" s="44" t="s">
        <v>33</v>
      </c>
      <c r="J21" s="126">
        <v>1126.9449999999999</v>
      </c>
      <c r="K21" s="126">
        <v>482.00333333333299</v>
      </c>
      <c r="L21" s="126">
        <v>106.29</v>
      </c>
      <c r="M21" s="126">
        <v>22.69</v>
      </c>
      <c r="N21" s="126">
        <v>1737.9283333333328</v>
      </c>
    </row>
    <row r="24" spans="1:14" ht="15.75" x14ac:dyDescent="0.25">
      <c r="A24" s="214" t="s">
        <v>181</v>
      </c>
      <c r="B24" s="212"/>
    </row>
    <row r="25" spans="1:14" ht="15.75" x14ac:dyDescent="0.25">
      <c r="A25" s="42" t="s">
        <v>56</v>
      </c>
      <c r="B25" s="42" t="s">
        <v>162</v>
      </c>
      <c r="C25" s="42" t="s">
        <v>57</v>
      </c>
      <c r="D25" s="42" t="s">
        <v>58</v>
      </c>
      <c r="E25" s="42" t="s">
        <v>163</v>
      </c>
      <c r="F25" s="42" t="s">
        <v>59</v>
      </c>
    </row>
    <row r="26" spans="1:14" x14ac:dyDescent="0.25">
      <c r="A26" s="43" t="s">
        <v>4</v>
      </c>
      <c r="B26" s="10">
        <v>450.61</v>
      </c>
      <c r="C26" s="10">
        <v>149.81</v>
      </c>
      <c r="D26" s="10">
        <v>29.15</v>
      </c>
      <c r="E26" s="10">
        <v>9.11</v>
      </c>
      <c r="F26" s="10">
        <v>638.68000000000006</v>
      </c>
    </row>
    <row r="27" spans="1:14" x14ac:dyDescent="0.25">
      <c r="A27" s="43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14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14" x14ac:dyDescent="0.25">
      <c r="A29" s="43" t="s">
        <v>14</v>
      </c>
      <c r="B29" s="10">
        <v>228.80500000000001</v>
      </c>
      <c r="C29" s="10">
        <v>100.90333333333299</v>
      </c>
      <c r="D29" s="10">
        <v>34.479999999999997</v>
      </c>
      <c r="E29" s="10">
        <v>10.24</v>
      </c>
      <c r="F29" s="10">
        <v>374.42833333333306</v>
      </c>
    </row>
    <row r="30" spans="1:14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14" x14ac:dyDescent="0.25">
      <c r="A31" s="43" t="s">
        <v>39</v>
      </c>
      <c r="B31" s="10">
        <v>3.51</v>
      </c>
      <c r="C31" s="10">
        <v>3.58</v>
      </c>
      <c r="D31" s="10">
        <v>0</v>
      </c>
      <c r="E31" s="10">
        <v>0.02</v>
      </c>
      <c r="F31" s="10">
        <v>7.1099999999999994</v>
      </c>
    </row>
    <row r="32" spans="1:14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7" x14ac:dyDescent="0.25">
      <c r="A33" s="43" t="s">
        <v>19</v>
      </c>
      <c r="B33" s="10">
        <v>0.37</v>
      </c>
      <c r="C33" s="10">
        <v>0.06</v>
      </c>
      <c r="D33" s="10">
        <v>0</v>
      </c>
      <c r="E33" s="10">
        <v>0</v>
      </c>
      <c r="F33" s="10">
        <v>0.43</v>
      </c>
    </row>
    <row r="34" spans="1:7" x14ac:dyDescent="0.25">
      <c r="A34" s="43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7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7" x14ac:dyDescent="0.25">
      <c r="A36" s="43" t="s">
        <v>160</v>
      </c>
      <c r="B36" s="10">
        <v>0.28000000000000003</v>
      </c>
      <c r="C36" s="10">
        <v>0.06</v>
      </c>
      <c r="D36" s="10">
        <v>0.46500000000000002</v>
      </c>
      <c r="E36" s="10">
        <v>0.41</v>
      </c>
      <c r="F36" s="10">
        <v>1.2150000000000001</v>
      </c>
    </row>
    <row r="37" spans="1:7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7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7" x14ac:dyDescent="0.25">
      <c r="A39" s="43" t="s">
        <v>32</v>
      </c>
      <c r="B39" s="10">
        <v>481.97500000000002</v>
      </c>
      <c r="C39" s="10">
        <v>250.31</v>
      </c>
      <c r="D39" s="10">
        <v>50.15</v>
      </c>
      <c r="E39" s="10">
        <v>10.77</v>
      </c>
      <c r="F39" s="10">
        <v>793.20500000000004</v>
      </c>
    </row>
    <row r="40" spans="1:7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7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7" x14ac:dyDescent="0.25">
      <c r="A42" s="44" t="s">
        <v>33</v>
      </c>
      <c r="B42" s="126">
        <v>1165.55</v>
      </c>
      <c r="C42" s="126">
        <v>504.72333333333302</v>
      </c>
      <c r="D42" s="126">
        <v>114.245</v>
      </c>
      <c r="E42" s="126">
        <v>30.55</v>
      </c>
      <c r="F42" s="126">
        <v>1815.0683333333329</v>
      </c>
    </row>
    <row r="45" spans="1:7" ht="15.75" x14ac:dyDescent="0.25">
      <c r="A45" s="42" t="s">
        <v>56</v>
      </c>
      <c r="B45" s="42" t="s">
        <v>162</v>
      </c>
      <c r="C45" s="42" t="s">
        <v>57</v>
      </c>
      <c r="D45" s="42" t="s">
        <v>58</v>
      </c>
      <c r="E45" s="42" t="s">
        <v>163</v>
      </c>
      <c r="F45" s="42" t="s">
        <v>59</v>
      </c>
      <c r="G45" s="42" t="s">
        <v>60</v>
      </c>
    </row>
    <row r="46" spans="1:7" x14ac:dyDescent="0.25">
      <c r="A46" s="43" t="s">
        <v>4</v>
      </c>
      <c r="B46" s="19">
        <f>IFERROR(B26/$F26,"")</f>
        <v>0.70553328740527332</v>
      </c>
      <c r="C46" s="19">
        <f t="shared" ref="C46:F46" si="0">IFERROR(C26/$F26,"")</f>
        <v>0.23456190893718293</v>
      </c>
      <c r="D46" s="19">
        <f t="shared" si="0"/>
        <v>4.5641009582263414E-2</v>
      </c>
      <c r="E46" s="19">
        <f t="shared" si="0"/>
        <v>1.4263794075280263E-2</v>
      </c>
      <c r="F46" s="19">
        <f t="shared" si="0"/>
        <v>1</v>
      </c>
      <c r="G46" s="19">
        <f>IFERROR(F26/$F$42,"")</f>
        <v>0.35187655928472861</v>
      </c>
    </row>
    <row r="47" spans="1:7" x14ac:dyDescent="0.25">
      <c r="A47" s="43" t="s">
        <v>43</v>
      </c>
      <c r="B47" s="19" t="str">
        <f t="shared" ref="B47:F62" si="1">IFERROR(B27/$F27,"")</f>
        <v/>
      </c>
      <c r="C47" s="19" t="str">
        <f t="shared" si="1"/>
        <v/>
      </c>
      <c r="D47" s="19" t="str">
        <f t="shared" si="1"/>
        <v/>
      </c>
      <c r="E47" s="19" t="str">
        <f t="shared" si="1"/>
        <v/>
      </c>
      <c r="F47" s="19" t="str">
        <f t="shared" si="1"/>
        <v/>
      </c>
      <c r="G47" s="19">
        <f t="shared" ref="G47:G61" si="2">IFERROR(F27/$F$42,"")</f>
        <v>0</v>
      </c>
    </row>
    <row r="48" spans="1:7" x14ac:dyDescent="0.25">
      <c r="A48" s="43" t="s">
        <v>13</v>
      </c>
      <c r="B48" s="19" t="str">
        <f t="shared" si="1"/>
        <v/>
      </c>
      <c r="C48" s="19" t="str">
        <f t="shared" si="1"/>
        <v/>
      </c>
      <c r="D48" s="19" t="str">
        <f t="shared" si="1"/>
        <v/>
      </c>
      <c r="E48" s="19" t="str">
        <f t="shared" si="1"/>
        <v/>
      </c>
      <c r="F48" s="19" t="str">
        <f t="shared" si="1"/>
        <v/>
      </c>
      <c r="G48" s="19">
        <f t="shared" si="2"/>
        <v>0</v>
      </c>
    </row>
    <row r="49" spans="1:7" x14ac:dyDescent="0.25">
      <c r="A49" s="43" t="s">
        <v>14</v>
      </c>
      <c r="B49" s="19">
        <f t="shared" si="1"/>
        <v>0.6110782214665027</v>
      </c>
      <c r="C49" s="19">
        <f t="shared" si="1"/>
        <v>0.269486372559056</v>
      </c>
      <c r="D49" s="19">
        <f t="shared" si="1"/>
        <v>9.208704825578555E-2</v>
      </c>
      <c r="E49" s="19">
        <f t="shared" si="1"/>
        <v>2.7348357718655573E-2</v>
      </c>
      <c r="F49" s="19">
        <f t="shared" si="1"/>
        <v>1</v>
      </c>
      <c r="G49" s="19">
        <f t="shared" si="2"/>
        <v>0.20628883577385965</v>
      </c>
    </row>
    <row r="50" spans="1:7" x14ac:dyDescent="0.25">
      <c r="A50" s="43" t="s">
        <v>36</v>
      </c>
      <c r="B50" s="19" t="str">
        <f t="shared" si="1"/>
        <v/>
      </c>
      <c r="C50" s="19" t="str">
        <f t="shared" si="1"/>
        <v/>
      </c>
      <c r="D50" s="19" t="str">
        <f t="shared" si="1"/>
        <v/>
      </c>
      <c r="E50" s="19" t="str">
        <f t="shared" si="1"/>
        <v/>
      </c>
      <c r="F50" s="19" t="str">
        <f t="shared" si="1"/>
        <v/>
      </c>
      <c r="G50" s="19">
        <f t="shared" si="2"/>
        <v>0</v>
      </c>
    </row>
    <row r="51" spans="1:7" x14ac:dyDescent="0.25">
      <c r="A51" s="43" t="s">
        <v>39</v>
      </c>
      <c r="B51" s="19">
        <f t="shared" si="1"/>
        <v>0.49367088607594939</v>
      </c>
      <c r="C51" s="19">
        <f t="shared" si="1"/>
        <v>0.50351617440225038</v>
      </c>
      <c r="D51" s="19">
        <f t="shared" si="1"/>
        <v>0</v>
      </c>
      <c r="E51" s="19">
        <f t="shared" si="1"/>
        <v>2.8129395218002818E-3</v>
      </c>
      <c r="F51" s="19">
        <f t="shared" si="1"/>
        <v>1</v>
      </c>
      <c r="G51" s="19">
        <f t="shared" si="2"/>
        <v>3.9172078920811986E-3</v>
      </c>
    </row>
    <row r="52" spans="1:7" x14ac:dyDescent="0.25">
      <c r="A52" s="43" t="s">
        <v>18</v>
      </c>
      <c r="B52" s="19" t="str">
        <f t="shared" si="1"/>
        <v/>
      </c>
      <c r="C52" s="19" t="str">
        <f t="shared" si="1"/>
        <v/>
      </c>
      <c r="D52" s="19" t="str">
        <f t="shared" si="1"/>
        <v/>
      </c>
      <c r="E52" s="19" t="str">
        <f t="shared" si="1"/>
        <v/>
      </c>
      <c r="F52" s="19" t="str">
        <f t="shared" si="1"/>
        <v/>
      </c>
      <c r="G52" s="19">
        <f t="shared" si="2"/>
        <v>0</v>
      </c>
    </row>
    <row r="53" spans="1:7" x14ac:dyDescent="0.25">
      <c r="A53" s="43" t="s">
        <v>19</v>
      </c>
      <c r="B53" s="19">
        <f t="shared" si="1"/>
        <v>0.86046511627906974</v>
      </c>
      <c r="C53" s="19">
        <f t="shared" si="1"/>
        <v>0.13953488372093023</v>
      </c>
      <c r="D53" s="19">
        <f t="shared" si="1"/>
        <v>0</v>
      </c>
      <c r="E53" s="19">
        <f t="shared" si="1"/>
        <v>0</v>
      </c>
      <c r="F53" s="19">
        <f t="shared" si="1"/>
        <v>1</v>
      </c>
      <c r="G53" s="19">
        <f t="shared" si="2"/>
        <v>2.3690568123697827E-4</v>
      </c>
    </row>
    <row r="54" spans="1:7" x14ac:dyDescent="0.25">
      <c r="A54" s="43" t="s">
        <v>23</v>
      </c>
      <c r="B54" s="19" t="str">
        <f t="shared" si="1"/>
        <v/>
      </c>
      <c r="C54" s="19" t="str">
        <f t="shared" si="1"/>
        <v/>
      </c>
      <c r="D54" s="19" t="str">
        <f t="shared" si="1"/>
        <v/>
      </c>
      <c r="E54" s="19" t="str">
        <f t="shared" si="1"/>
        <v/>
      </c>
      <c r="F54" s="19" t="str">
        <f t="shared" si="1"/>
        <v/>
      </c>
      <c r="G54" s="19">
        <f t="shared" si="2"/>
        <v>0</v>
      </c>
    </row>
    <row r="55" spans="1:7" x14ac:dyDescent="0.25">
      <c r="A55" s="43" t="s">
        <v>26</v>
      </c>
      <c r="B55" s="19" t="str">
        <f t="shared" si="1"/>
        <v/>
      </c>
      <c r="C55" s="19" t="str">
        <f t="shared" si="1"/>
        <v/>
      </c>
      <c r="D55" s="19" t="str">
        <f t="shared" si="1"/>
        <v/>
      </c>
      <c r="E55" s="19" t="str">
        <f t="shared" si="1"/>
        <v/>
      </c>
      <c r="F55" s="19" t="str">
        <f t="shared" si="1"/>
        <v/>
      </c>
      <c r="G55" s="19">
        <f t="shared" si="2"/>
        <v>0</v>
      </c>
    </row>
    <row r="56" spans="1:7" x14ac:dyDescent="0.25">
      <c r="A56" s="43" t="s">
        <v>160</v>
      </c>
      <c r="B56" s="19">
        <f t="shared" si="1"/>
        <v>0.23045267489711935</v>
      </c>
      <c r="C56" s="19">
        <f t="shared" si="1"/>
        <v>4.9382716049382713E-2</v>
      </c>
      <c r="D56" s="19">
        <f t="shared" si="1"/>
        <v>0.38271604938271603</v>
      </c>
      <c r="E56" s="19">
        <f t="shared" si="1"/>
        <v>0.33744855967078186</v>
      </c>
      <c r="F56" s="19">
        <f t="shared" si="1"/>
        <v>1</v>
      </c>
      <c r="G56" s="19">
        <f t="shared" si="2"/>
        <v>6.6939628535564791E-4</v>
      </c>
    </row>
    <row r="57" spans="1:7" x14ac:dyDescent="0.25">
      <c r="A57" s="43" t="s">
        <v>161</v>
      </c>
      <c r="B57" s="19" t="str">
        <f t="shared" si="1"/>
        <v/>
      </c>
      <c r="C57" s="19" t="str">
        <f t="shared" si="1"/>
        <v/>
      </c>
      <c r="D57" s="19" t="str">
        <f t="shared" si="1"/>
        <v/>
      </c>
      <c r="E57" s="19" t="str">
        <f t="shared" si="1"/>
        <v/>
      </c>
      <c r="F57" s="19" t="str">
        <f t="shared" si="1"/>
        <v/>
      </c>
      <c r="G57" s="19">
        <f t="shared" si="2"/>
        <v>0</v>
      </c>
    </row>
    <row r="58" spans="1:7" x14ac:dyDescent="0.25">
      <c r="A58" s="43" t="s">
        <v>89</v>
      </c>
      <c r="B58" s="19" t="str">
        <f t="shared" si="1"/>
        <v/>
      </c>
      <c r="C58" s="19" t="str">
        <f t="shared" si="1"/>
        <v/>
      </c>
      <c r="D58" s="19" t="str">
        <f t="shared" si="1"/>
        <v/>
      </c>
      <c r="E58" s="19" t="str">
        <f t="shared" si="1"/>
        <v/>
      </c>
      <c r="F58" s="19" t="str">
        <f t="shared" si="1"/>
        <v/>
      </c>
      <c r="G58" s="19">
        <f t="shared" si="2"/>
        <v>0</v>
      </c>
    </row>
    <row r="59" spans="1:7" x14ac:dyDescent="0.25">
      <c r="A59" s="43" t="s">
        <v>32</v>
      </c>
      <c r="B59" s="19">
        <f t="shared" si="1"/>
        <v>0.60762980566184022</v>
      </c>
      <c r="C59" s="19">
        <f t="shared" si="1"/>
        <v>0.31556785446385233</v>
      </c>
      <c r="D59" s="19">
        <f t="shared" si="1"/>
        <v>6.3224513209069536E-2</v>
      </c>
      <c r="E59" s="19">
        <f t="shared" si="1"/>
        <v>1.3577826665237862E-2</v>
      </c>
      <c r="F59" s="19">
        <f t="shared" si="1"/>
        <v>1</v>
      </c>
      <c r="G59" s="19">
        <f t="shared" si="2"/>
        <v>0.43701109508273805</v>
      </c>
    </row>
    <row r="60" spans="1:7" x14ac:dyDescent="0.25">
      <c r="A60" s="43" t="s">
        <v>90</v>
      </c>
      <c r="B60" s="19" t="str">
        <f t="shared" si="1"/>
        <v/>
      </c>
      <c r="C60" s="19" t="str">
        <f t="shared" si="1"/>
        <v/>
      </c>
      <c r="D60" s="19" t="str">
        <f t="shared" si="1"/>
        <v/>
      </c>
      <c r="E60" s="19" t="str">
        <f t="shared" si="1"/>
        <v/>
      </c>
      <c r="F60" s="19" t="str">
        <f t="shared" si="1"/>
        <v/>
      </c>
      <c r="G60" s="19">
        <f t="shared" si="2"/>
        <v>0</v>
      </c>
    </row>
    <row r="61" spans="1:7" x14ac:dyDescent="0.25">
      <c r="A61" s="43" t="s">
        <v>91</v>
      </c>
      <c r="B61" s="19" t="str">
        <f t="shared" si="1"/>
        <v/>
      </c>
      <c r="C61" s="19" t="str">
        <f t="shared" si="1"/>
        <v/>
      </c>
      <c r="D61" s="19" t="str">
        <f t="shared" si="1"/>
        <v/>
      </c>
      <c r="E61" s="19" t="str">
        <f t="shared" si="1"/>
        <v/>
      </c>
      <c r="F61" s="19" t="str">
        <f t="shared" si="1"/>
        <v/>
      </c>
      <c r="G61" s="19">
        <f t="shared" si="2"/>
        <v>0</v>
      </c>
    </row>
    <row r="62" spans="1:7" x14ac:dyDescent="0.25">
      <c r="A62" s="44" t="s">
        <v>33</v>
      </c>
      <c r="B62" s="46">
        <f>IFERROR(B42/$F42,"")</f>
        <v>0.64215213201339538</v>
      </c>
      <c r="C62" s="46">
        <f t="shared" si="1"/>
        <v>0.27807401190588771</v>
      </c>
      <c r="D62" s="46">
        <f t="shared" si="1"/>
        <v>6.2942533843996701E-2</v>
      </c>
      <c r="E62" s="46">
        <f t="shared" si="1"/>
        <v>1.6831322236720202E-2</v>
      </c>
      <c r="F62" s="46">
        <f t="shared" si="1"/>
        <v>1</v>
      </c>
    </row>
  </sheetData>
  <mergeCells count="4">
    <mergeCell ref="A3:B3"/>
    <mergeCell ref="I3:J3"/>
    <mergeCell ref="A24:B24"/>
    <mergeCell ref="C1:E1"/>
  </mergeCells>
  <hyperlinks>
    <hyperlink ref="G1" r:id="rId1" location="INDICE!A1"/>
  </hyperlinks>
  <pageMargins left="0.7" right="0.7" top="0.75" bottom="0.75" header="0.3" footer="0.3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opLeftCell="AB22" workbookViewId="0">
      <selection activeCell="AQ27" sqref="AQ27"/>
    </sheetView>
  </sheetViews>
  <sheetFormatPr baseColWidth="10" defaultRowHeight="15" x14ac:dyDescent="0.25"/>
  <cols>
    <col min="1" max="1" width="27" customWidth="1"/>
    <col min="3" max="3" width="10" bestFit="1" customWidth="1"/>
    <col min="4" max="7" width="6.7109375" hidden="1" customWidth="1"/>
    <col min="8" max="9" width="7.140625" hidden="1" customWidth="1"/>
    <col min="10" max="10" width="16.140625" bestFit="1" customWidth="1"/>
    <col min="11" max="11" width="9.85546875" hidden="1" customWidth="1"/>
    <col min="12" max="12" width="10.28515625" hidden="1" customWidth="1"/>
    <col min="13" max="13" width="10" hidden="1" customWidth="1"/>
    <col min="14" max="14" width="10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4" max="24" width="9.140625" hidden="1" customWidth="1"/>
    <col min="25" max="25" width="5.5703125" hidden="1" customWidth="1"/>
    <col min="28" max="28" width="27.140625" customWidth="1"/>
  </cols>
  <sheetData>
    <row r="1" spans="1:41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41" ht="18.75" x14ac:dyDescent="0.3">
      <c r="A2" s="54" t="s">
        <v>3</v>
      </c>
    </row>
    <row r="3" spans="1:41" x14ac:dyDescent="0.25">
      <c r="A3" s="216" t="s">
        <v>139</v>
      </c>
      <c r="B3" s="216"/>
      <c r="C3" s="87"/>
      <c r="D3" s="87"/>
      <c r="AB3" s="216" t="s">
        <v>139</v>
      </c>
      <c r="AC3" s="216"/>
      <c r="AD3" s="87"/>
      <c r="AE3" s="87"/>
    </row>
    <row r="4" spans="1:41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62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62" t="s">
        <v>94</v>
      </c>
      <c r="X4" s="51" t="s">
        <v>81</v>
      </c>
      <c r="Y4" s="51" t="s">
        <v>82</v>
      </c>
      <c r="Z4" s="62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  <c r="AO4" t="s">
        <v>222</v>
      </c>
    </row>
    <row r="5" spans="1:41" x14ac:dyDescent="0.25">
      <c r="A5" s="43" t="s">
        <v>4</v>
      </c>
      <c r="B5" s="10">
        <v>4704.7084999999997</v>
      </c>
      <c r="C5" s="10">
        <v>4813.3149999999996</v>
      </c>
      <c r="D5" s="10">
        <v>4075.11</v>
      </c>
      <c r="E5" s="10">
        <v>3073.6</v>
      </c>
      <c r="F5" s="10">
        <v>3031.81</v>
      </c>
      <c r="G5" s="10">
        <v>2671.02</v>
      </c>
      <c r="H5" s="10">
        <v>2070.88</v>
      </c>
      <c r="I5" s="10">
        <v>1772.38</v>
      </c>
      <c r="J5" s="10">
        <f>SUM(D5:I5)</f>
        <v>16694.800000000003</v>
      </c>
      <c r="K5" s="10">
        <v>1244.32</v>
      </c>
      <c r="L5" s="10">
        <v>1463.76</v>
      </c>
      <c r="M5" s="10">
        <v>1362.63</v>
      </c>
      <c r="N5" s="10">
        <v>1560.95</v>
      </c>
      <c r="O5" s="10">
        <v>1308.02</v>
      </c>
      <c r="P5" s="10">
        <v>805.35</v>
      </c>
      <c r="Q5" s="10">
        <v>724.96</v>
      </c>
      <c r="R5" s="10">
        <v>707.16</v>
      </c>
      <c r="S5" s="10">
        <v>659.2</v>
      </c>
      <c r="T5" s="10">
        <v>348.29</v>
      </c>
      <c r="U5" s="10">
        <v>551.37</v>
      </c>
      <c r="V5" s="10">
        <v>581.07000000000005</v>
      </c>
      <c r="W5" s="10">
        <f>SUM(K5:V5)</f>
        <v>11317.080000000004</v>
      </c>
      <c r="X5" s="10">
        <v>4674.63</v>
      </c>
      <c r="Y5" s="10">
        <v>8039.41</v>
      </c>
      <c r="Z5" s="10">
        <f>SUM(X5:Y5)</f>
        <v>12714.04</v>
      </c>
      <c r="AB5" s="43" t="s">
        <v>4</v>
      </c>
      <c r="AC5" s="19">
        <f>IFERROR(B5/SUM($B5+$C5+$J5+$W5+$Z5),"")</f>
        <v>9.3637325660952522E-2</v>
      </c>
      <c r="AD5" s="19">
        <f>IFERROR(C5/SUM($B5+$C5+$J5+$W5+$Z5),"")</f>
        <v>9.5798909574046451E-2</v>
      </c>
      <c r="AE5" s="19">
        <f>IFERROR(J5/SUM($B5+$C5+$J5+$W5+$Z5),"")</f>
        <v>0.33227487408507256</v>
      </c>
      <c r="AF5" s="19">
        <f>IFERROR(W5/SUM($B5+$C5+$J5+$W5+$Z5),"")</f>
        <v>0.2252426702931867</v>
      </c>
      <c r="AG5" s="19">
        <f>IFERROR(Z5/SUM($B5+$C5+$J5+$W5+$Z5),"")</f>
        <v>0.25304622038674174</v>
      </c>
    </row>
    <row r="6" spans="1:41" x14ac:dyDescent="0.25">
      <c r="A6" s="43" t="s">
        <v>43</v>
      </c>
      <c r="B6" s="10">
        <v>21.7</v>
      </c>
      <c r="C6" s="10">
        <v>17.63</v>
      </c>
      <c r="D6" s="10">
        <v>36.61</v>
      </c>
      <c r="E6" s="10">
        <v>0</v>
      </c>
      <c r="F6" s="10">
        <v>0</v>
      </c>
      <c r="G6" s="10">
        <v>26.34</v>
      </c>
      <c r="H6" s="10">
        <v>0</v>
      </c>
      <c r="I6" s="10">
        <v>0</v>
      </c>
      <c r="J6" s="10">
        <f t="shared" ref="J6:J21" si="0">SUM(D6:I6)</f>
        <v>62.95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1" si="1">SUM(K6:V6)</f>
        <v>0</v>
      </c>
      <c r="X6" s="10">
        <v>0</v>
      </c>
      <c r="Y6" s="10">
        <v>0</v>
      </c>
      <c r="Z6" s="10">
        <f t="shared" ref="Z6:Z21" si="2">SUM(X6:Y6)</f>
        <v>0</v>
      </c>
      <c r="AB6" s="43" t="s">
        <v>43</v>
      </c>
      <c r="AC6" s="19">
        <f t="shared" ref="AC6:AD21" si="3">IFERROR(B6/SUM($B6+$C6+$J6+$W6+$Z6),"")</f>
        <v>0.21216269065310911</v>
      </c>
      <c r="AD6" s="19">
        <f t="shared" si="3"/>
        <v>0.17236996480250291</v>
      </c>
      <c r="AE6" s="19">
        <f t="shared" ref="AE6:AE21" si="4">IFERROR(J6/SUM($B6+$C6+$J6+$W6+$Z6),"")</f>
        <v>0.61546734454438801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41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0</v>
      </c>
      <c r="X7" s="10">
        <v>0</v>
      </c>
      <c r="Y7" s="10">
        <v>0</v>
      </c>
      <c r="Z7" s="10">
        <f t="shared" si="2"/>
        <v>0</v>
      </c>
      <c r="AB7" s="43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41" x14ac:dyDescent="0.25">
      <c r="A8" s="43" t="s">
        <v>14</v>
      </c>
      <c r="B8" s="10">
        <v>25834.5016666667</v>
      </c>
      <c r="C8" s="10">
        <v>7923.1549999999997</v>
      </c>
      <c r="D8" s="10">
        <v>3775.5266666666698</v>
      </c>
      <c r="E8" s="10">
        <v>1853.81</v>
      </c>
      <c r="F8" s="10">
        <v>1239.24</v>
      </c>
      <c r="G8" s="10">
        <v>961.12</v>
      </c>
      <c r="H8" s="10">
        <v>706.09</v>
      </c>
      <c r="I8" s="10">
        <v>297.08999999999997</v>
      </c>
      <c r="J8" s="10">
        <f t="shared" si="0"/>
        <v>8832.8766666666688</v>
      </c>
      <c r="K8" s="10">
        <v>457.16</v>
      </c>
      <c r="L8" s="10">
        <v>286.83999999999997</v>
      </c>
      <c r="M8" s="10">
        <v>262.16000000000003</v>
      </c>
      <c r="N8" s="10">
        <v>232.85</v>
      </c>
      <c r="O8" s="10">
        <v>188.07</v>
      </c>
      <c r="P8" s="10">
        <v>135.5</v>
      </c>
      <c r="Q8" s="10">
        <v>0</v>
      </c>
      <c r="R8" s="10">
        <v>232.53</v>
      </c>
      <c r="S8" s="10">
        <v>164.96</v>
      </c>
      <c r="T8" s="10">
        <v>88.46</v>
      </c>
      <c r="U8" s="10">
        <v>0</v>
      </c>
      <c r="V8" s="10">
        <v>0</v>
      </c>
      <c r="W8" s="10">
        <f t="shared" si="1"/>
        <v>2048.5299999999997</v>
      </c>
      <c r="X8" s="10">
        <v>758.69</v>
      </c>
      <c r="Y8" s="10">
        <v>866.63</v>
      </c>
      <c r="Z8" s="10">
        <f t="shared" si="2"/>
        <v>1625.3200000000002</v>
      </c>
      <c r="AB8" s="43" t="s">
        <v>14</v>
      </c>
      <c r="AC8" s="19">
        <f t="shared" si="3"/>
        <v>0.55841015929100279</v>
      </c>
      <c r="AD8" s="19">
        <f t="shared" si="3"/>
        <v>0.17125819970221859</v>
      </c>
      <c r="AE8" s="19">
        <f t="shared" si="4"/>
        <v>0.19092174217531618</v>
      </c>
      <c r="AF8" s="19">
        <f t="shared" si="5"/>
        <v>4.4278770241903111E-2</v>
      </c>
      <c r="AG8" s="19">
        <f t="shared" si="6"/>
        <v>3.5131128589559329E-2</v>
      </c>
    </row>
    <row r="9" spans="1:41" x14ac:dyDescent="0.25">
      <c r="A9" s="43" t="s">
        <v>36</v>
      </c>
      <c r="B9" s="10">
        <v>0.85</v>
      </c>
      <c r="C9" s="10">
        <v>7.19</v>
      </c>
      <c r="D9" s="10">
        <v>11.66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11.66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0</v>
      </c>
      <c r="X9" s="10">
        <v>0</v>
      </c>
      <c r="Y9" s="10">
        <v>0</v>
      </c>
      <c r="Z9" s="10">
        <f t="shared" si="2"/>
        <v>0</v>
      </c>
      <c r="AB9" s="43" t="s">
        <v>36</v>
      </c>
      <c r="AC9" s="19">
        <f t="shared" si="3"/>
        <v>4.3147208121827402E-2</v>
      </c>
      <c r="AD9" s="19">
        <f t="shared" si="3"/>
        <v>0.36497461928934005</v>
      </c>
      <c r="AE9" s="19">
        <f t="shared" si="4"/>
        <v>0.59187817258883246</v>
      </c>
      <c r="AF9" s="19">
        <f t="shared" si="5"/>
        <v>0</v>
      </c>
      <c r="AG9" s="19">
        <f t="shared" si="6"/>
        <v>0</v>
      </c>
    </row>
    <row r="10" spans="1:41" x14ac:dyDescent="0.25">
      <c r="A10" s="43" t="s">
        <v>39</v>
      </c>
      <c r="B10" s="10">
        <v>35.92</v>
      </c>
      <c r="C10" s="10">
        <v>74.599999999999994</v>
      </c>
      <c r="D10" s="10">
        <v>34.590000000000003</v>
      </c>
      <c r="E10" s="10">
        <v>17.2</v>
      </c>
      <c r="F10" s="10">
        <v>0</v>
      </c>
      <c r="G10" s="10">
        <v>26.2</v>
      </c>
      <c r="H10" s="10">
        <v>0</v>
      </c>
      <c r="I10" s="10">
        <v>0</v>
      </c>
      <c r="J10" s="10">
        <f t="shared" si="0"/>
        <v>77.990000000000009</v>
      </c>
      <c r="K10" s="10">
        <v>0</v>
      </c>
      <c r="L10" s="10">
        <v>49.65</v>
      </c>
      <c r="M10" s="10">
        <v>50.81</v>
      </c>
      <c r="N10" s="10">
        <v>57.39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157.85000000000002</v>
      </c>
      <c r="X10" s="10">
        <v>0</v>
      </c>
      <c r="Y10" s="10">
        <v>0</v>
      </c>
      <c r="Z10" s="10">
        <f t="shared" si="2"/>
        <v>0</v>
      </c>
      <c r="AB10" s="43" t="s">
        <v>39</v>
      </c>
      <c r="AC10" s="19">
        <f t="shared" si="3"/>
        <v>0.10370712553412634</v>
      </c>
      <c r="AD10" s="19">
        <f t="shared" si="3"/>
        <v>0.21538283866497285</v>
      </c>
      <c r="AE10" s="19">
        <f t="shared" si="4"/>
        <v>0.225170342995727</v>
      </c>
      <c r="AF10" s="19">
        <f t="shared" si="5"/>
        <v>0.45573969280517385</v>
      </c>
      <c r="AG10" s="19">
        <f t="shared" si="6"/>
        <v>0</v>
      </c>
    </row>
    <row r="11" spans="1:41" x14ac:dyDescent="0.25">
      <c r="A11" s="43" t="s">
        <v>18</v>
      </c>
      <c r="B11" s="10">
        <v>1.78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10">
        <v>0</v>
      </c>
      <c r="Y11" s="10">
        <v>0</v>
      </c>
      <c r="Z11" s="10">
        <f t="shared" si="2"/>
        <v>0</v>
      </c>
      <c r="AB11" s="43" t="s">
        <v>18</v>
      </c>
      <c r="AC11" s="19">
        <f t="shared" si="3"/>
        <v>1</v>
      </c>
      <c r="AD11" s="19">
        <f t="shared" si="3"/>
        <v>0</v>
      </c>
      <c r="AE11" s="19">
        <f t="shared" si="4"/>
        <v>0</v>
      </c>
      <c r="AF11" s="19">
        <f t="shared" si="5"/>
        <v>0</v>
      </c>
      <c r="AG11" s="19">
        <f t="shared" si="6"/>
        <v>0</v>
      </c>
    </row>
    <row r="12" spans="1:41" x14ac:dyDescent="0.25">
      <c r="A12" s="43" t="s">
        <v>19</v>
      </c>
      <c r="B12" s="10">
        <v>940.38333333333196</v>
      </c>
      <c r="C12" s="10">
        <v>395.82</v>
      </c>
      <c r="D12" s="10">
        <v>208.09</v>
      </c>
      <c r="E12" s="10">
        <v>84.47</v>
      </c>
      <c r="F12" s="10">
        <v>84.58</v>
      </c>
      <c r="G12" s="10">
        <v>107.36</v>
      </c>
      <c r="H12" s="10">
        <v>0</v>
      </c>
      <c r="I12" s="10">
        <v>36.46</v>
      </c>
      <c r="J12" s="10">
        <f t="shared" si="0"/>
        <v>520.96</v>
      </c>
      <c r="K12" s="10">
        <v>42.44</v>
      </c>
      <c r="L12" s="10">
        <v>48.67</v>
      </c>
      <c r="M12" s="10">
        <v>0</v>
      </c>
      <c r="N12" s="10">
        <v>0</v>
      </c>
      <c r="O12" s="10">
        <v>63.34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1"/>
        <v>154.44999999999999</v>
      </c>
      <c r="X12" s="10">
        <v>0</v>
      </c>
      <c r="Y12" s="10">
        <v>0</v>
      </c>
      <c r="Z12" s="10">
        <f t="shared" si="2"/>
        <v>0</v>
      </c>
      <c r="AB12" s="43" t="s">
        <v>19</v>
      </c>
      <c r="AC12" s="19">
        <f t="shared" si="3"/>
        <v>0.46747718249365311</v>
      </c>
      <c r="AD12" s="19">
        <f t="shared" si="3"/>
        <v>0.19676743708201058</v>
      </c>
      <c r="AE12" s="19">
        <f t="shared" si="4"/>
        <v>0.25897621146542427</v>
      </c>
      <c r="AF12" s="19">
        <f t="shared" si="5"/>
        <v>7.6779168958911959E-2</v>
      </c>
      <c r="AG12" s="19">
        <f t="shared" si="6"/>
        <v>0</v>
      </c>
    </row>
    <row r="13" spans="1:41" x14ac:dyDescent="0.25">
      <c r="A13" s="43" t="s">
        <v>23</v>
      </c>
      <c r="B13" s="10">
        <v>39.090000000000003</v>
      </c>
      <c r="C13" s="10">
        <v>6.28</v>
      </c>
      <c r="D13" s="10">
        <v>32.18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32.18</v>
      </c>
      <c r="K13" s="10">
        <v>0</v>
      </c>
      <c r="L13" s="10">
        <v>48.33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86.33</v>
      </c>
      <c r="U13" s="10">
        <v>0</v>
      </c>
      <c r="V13" s="10">
        <v>0</v>
      </c>
      <c r="W13" s="10">
        <f t="shared" si="1"/>
        <v>134.66</v>
      </c>
      <c r="X13" s="10">
        <v>0</v>
      </c>
      <c r="Y13" s="10">
        <v>0</v>
      </c>
      <c r="Z13" s="10">
        <f t="shared" si="2"/>
        <v>0</v>
      </c>
      <c r="AB13" s="43" t="s">
        <v>23</v>
      </c>
      <c r="AC13" s="19">
        <f t="shared" si="3"/>
        <v>0.18420432590358607</v>
      </c>
      <c r="AD13" s="19">
        <f t="shared" si="3"/>
        <v>2.9593327364403187E-2</v>
      </c>
      <c r="AE13" s="19">
        <f t="shared" si="4"/>
        <v>0.15164224117619338</v>
      </c>
      <c r="AF13" s="19">
        <f t="shared" si="5"/>
        <v>0.63456010555581732</v>
      </c>
      <c r="AG13" s="19">
        <f t="shared" si="6"/>
        <v>0</v>
      </c>
    </row>
    <row r="14" spans="1:41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0</v>
      </c>
      <c r="X14" s="10">
        <v>0</v>
      </c>
      <c r="Y14" s="10">
        <v>0</v>
      </c>
      <c r="Z14" s="10">
        <f t="shared" si="2"/>
        <v>0</v>
      </c>
      <c r="AB14" s="43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41" x14ac:dyDescent="0.25">
      <c r="A15" s="43" t="s">
        <v>160</v>
      </c>
      <c r="B15" s="10">
        <v>661.39836904761796</v>
      </c>
      <c r="C15" s="10">
        <v>117.99</v>
      </c>
      <c r="D15" s="10">
        <v>94.48</v>
      </c>
      <c r="E15" s="10">
        <v>66.64</v>
      </c>
      <c r="F15" s="10">
        <v>20.21</v>
      </c>
      <c r="G15" s="10">
        <v>0</v>
      </c>
      <c r="H15" s="10">
        <v>32.07</v>
      </c>
      <c r="I15" s="10">
        <v>0</v>
      </c>
      <c r="J15" s="10">
        <f t="shared" si="0"/>
        <v>213.4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0</v>
      </c>
      <c r="X15" s="10">
        <v>0</v>
      </c>
      <c r="Y15" s="10">
        <v>0</v>
      </c>
      <c r="Z15" s="10">
        <f t="shared" si="2"/>
        <v>0</v>
      </c>
      <c r="AB15" s="43" t="s">
        <v>160</v>
      </c>
      <c r="AC15" s="19">
        <f t="shared" si="3"/>
        <v>0.66620277761925994</v>
      </c>
      <c r="AD15" s="19">
        <f t="shared" si="3"/>
        <v>0.11884708129003145</v>
      </c>
      <c r="AE15" s="19">
        <f t="shared" si="4"/>
        <v>0.21495014109070865</v>
      </c>
      <c r="AF15" s="19">
        <f t="shared" si="5"/>
        <v>0</v>
      </c>
      <c r="AG15" s="19">
        <f t="shared" si="6"/>
        <v>0</v>
      </c>
    </row>
    <row r="16" spans="1:41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1"/>
        <v>0</v>
      </c>
      <c r="X16" s="10">
        <v>0</v>
      </c>
      <c r="Y16" s="10">
        <v>0</v>
      </c>
      <c r="Z16" s="10">
        <f t="shared" si="2"/>
        <v>0</v>
      </c>
      <c r="AB16" s="43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63.45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/>
      <c r="X17" s="10">
        <v>0</v>
      </c>
      <c r="Y17" s="10">
        <v>0</v>
      </c>
      <c r="Z17" s="10"/>
      <c r="AB17" s="43" t="s">
        <v>89</v>
      </c>
      <c r="AC17" s="19" t="str">
        <f t="shared" si="3"/>
        <v/>
      </c>
      <c r="AD17" s="19" t="str">
        <f t="shared" si="3"/>
        <v/>
      </c>
      <c r="AE17" s="19" t="str">
        <f t="shared" si="4"/>
        <v/>
      </c>
      <c r="AF17" s="19" t="str">
        <f t="shared" si="5"/>
        <v/>
      </c>
      <c r="AG17" s="19" t="str">
        <f t="shared" si="6"/>
        <v/>
      </c>
    </row>
    <row r="18" spans="1:33" x14ac:dyDescent="0.25">
      <c r="A18" s="43" t="s">
        <v>32</v>
      </c>
      <c r="B18" s="10">
        <v>709.15</v>
      </c>
      <c r="C18" s="10">
        <v>712.54499999999996</v>
      </c>
      <c r="D18" s="10">
        <v>442.06</v>
      </c>
      <c r="E18" s="10">
        <v>488.41</v>
      </c>
      <c r="F18" s="10">
        <v>133.25</v>
      </c>
      <c r="G18" s="10">
        <v>190.59</v>
      </c>
      <c r="H18" s="10">
        <v>263.39</v>
      </c>
      <c r="I18" s="10">
        <v>144.93</v>
      </c>
      <c r="J18" s="10">
        <f t="shared" si="0"/>
        <v>1662.6299999999999</v>
      </c>
      <c r="K18" s="10">
        <v>128.36000000000001</v>
      </c>
      <c r="L18" s="10">
        <v>145.93</v>
      </c>
      <c r="M18" s="10">
        <v>106.55</v>
      </c>
      <c r="N18" s="10">
        <v>58.98</v>
      </c>
      <c r="O18" s="10">
        <v>189.76</v>
      </c>
      <c r="P18" s="10">
        <v>266.2</v>
      </c>
      <c r="Q18" s="10">
        <v>148.68</v>
      </c>
      <c r="R18" s="10">
        <v>236.4</v>
      </c>
      <c r="S18" s="10">
        <v>0</v>
      </c>
      <c r="T18" s="10">
        <v>88.23</v>
      </c>
      <c r="U18" s="10">
        <v>187.98</v>
      </c>
      <c r="V18" s="10">
        <v>98.73</v>
      </c>
      <c r="W18" s="10"/>
      <c r="X18" s="10">
        <v>239.36</v>
      </c>
      <c r="Y18" s="10">
        <v>440.74</v>
      </c>
      <c r="Z18" s="10"/>
      <c r="AB18" s="43" t="s">
        <v>32</v>
      </c>
      <c r="AC18" s="19">
        <f t="shared" si="3"/>
        <v>0.22992064714321611</v>
      </c>
      <c r="AD18" s="19">
        <f t="shared" si="3"/>
        <v>0.23102137420667407</v>
      </c>
      <c r="AE18" s="19">
        <f t="shared" si="4"/>
        <v>0.53905797865010985</v>
      </c>
      <c r="AF18" s="19">
        <f t="shared" si="5"/>
        <v>0</v>
      </c>
      <c r="AG18" s="19">
        <f t="shared" si="6"/>
        <v>0</v>
      </c>
    </row>
    <row r="19" spans="1:33" x14ac:dyDescent="0.25">
      <c r="A19" s="43" t="s">
        <v>90</v>
      </c>
      <c r="B19" s="10">
        <v>0.19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1"/>
        <v>0</v>
      </c>
      <c r="X19" s="10">
        <v>0</v>
      </c>
      <c r="Y19" s="10">
        <v>0</v>
      </c>
      <c r="Z19" s="10">
        <f t="shared" si="2"/>
        <v>0</v>
      </c>
      <c r="AB19" s="43" t="s">
        <v>90</v>
      </c>
      <c r="AC19" s="19">
        <f t="shared" si="3"/>
        <v>1</v>
      </c>
      <c r="AD19" s="19">
        <f t="shared" si="3"/>
        <v>0</v>
      </c>
      <c r="AE19" s="19">
        <f t="shared" si="4"/>
        <v>0</v>
      </c>
      <c r="AF19" s="19">
        <f t="shared" si="5"/>
        <v>0</v>
      </c>
      <c r="AG19" s="19">
        <f t="shared" si="6"/>
        <v>0</v>
      </c>
    </row>
    <row r="20" spans="1:33" x14ac:dyDescent="0.25">
      <c r="A20" s="43" t="s">
        <v>91</v>
      </c>
      <c r="B20" s="10">
        <v>0.03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0</v>
      </c>
      <c r="X20" s="10">
        <v>0</v>
      </c>
      <c r="Y20" s="10">
        <v>0</v>
      </c>
      <c r="Z20" s="10">
        <f t="shared" si="2"/>
        <v>0</v>
      </c>
      <c r="AB20" s="43" t="s">
        <v>91</v>
      </c>
      <c r="AC20" s="19">
        <f t="shared" si="3"/>
        <v>1</v>
      </c>
      <c r="AD20" s="19">
        <f t="shared" si="3"/>
        <v>0</v>
      </c>
      <c r="AE20" s="19">
        <f t="shared" si="4"/>
        <v>0</v>
      </c>
      <c r="AF20" s="19">
        <f t="shared" si="5"/>
        <v>0</v>
      </c>
      <c r="AG20" s="19">
        <f t="shared" si="6"/>
        <v>0</v>
      </c>
    </row>
    <row r="21" spans="1:33" x14ac:dyDescent="0.25">
      <c r="A21" s="52" t="s">
        <v>33</v>
      </c>
      <c r="B21" s="53">
        <v>32949.701869047603</v>
      </c>
      <c r="C21" s="53">
        <v>14068.525</v>
      </c>
      <c r="D21" s="53">
        <v>8710.3066666666691</v>
      </c>
      <c r="E21" s="53">
        <v>5584.13</v>
      </c>
      <c r="F21" s="53">
        <v>4509.09</v>
      </c>
      <c r="G21" s="53">
        <v>3982.63</v>
      </c>
      <c r="H21" s="53">
        <v>3072.43</v>
      </c>
      <c r="I21" s="53">
        <v>2250.86</v>
      </c>
      <c r="J21" s="61">
        <f t="shared" si="0"/>
        <v>28109.44666666667</v>
      </c>
      <c r="K21" s="53">
        <v>1872.28</v>
      </c>
      <c r="L21" s="53">
        <v>2043.18</v>
      </c>
      <c r="M21" s="53">
        <v>1782.15</v>
      </c>
      <c r="N21" s="53">
        <v>1910.17</v>
      </c>
      <c r="O21" s="53">
        <v>1812.64</v>
      </c>
      <c r="P21" s="53">
        <v>1207.05</v>
      </c>
      <c r="Q21" s="53">
        <v>873.64</v>
      </c>
      <c r="R21" s="53">
        <v>1176.0899999999999</v>
      </c>
      <c r="S21" s="53">
        <v>824.16</v>
      </c>
      <c r="T21" s="53">
        <v>611.30999999999995</v>
      </c>
      <c r="U21" s="53">
        <v>739.35</v>
      </c>
      <c r="V21" s="53">
        <v>679.8</v>
      </c>
      <c r="W21" s="61">
        <f t="shared" si="1"/>
        <v>15531.819999999998</v>
      </c>
      <c r="X21" s="53">
        <v>5672.68</v>
      </c>
      <c r="Y21" s="53">
        <v>9346.7800000000007</v>
      </c>
      <c r="Z21" s="61">
        <f t="shared" si="2"/>
        <v>15019.460000000001</v>
      </c>
      <c r="AA21" s="131">
        <f>B21+C21+J21+W21+Z21</f>
        <v>105678.95353571427</v>
      </c>
      <c r="AB21" s="52" t="s">
        <v>33</v>
      </c>
      <c r="AC21" s="65">
        <f t="shared" si="3"/>
        <v>0.31179057671035915</v>
      </c>
      <c r="AD21" s="65">
        <f t="shared" si="3"/>
        <v>0.13312513541540258</v>
      </c>
      <c r="AE21" s="134">
        <f t="shared" si="4"/>
        <v>0.2659890709190933</v>
      </c>
      <c r="AF21" s="134">
        <f t="shared" si="5"/>
        <v>0.1469717430041641</v>
      </c>
      <c r="AG21" s="134">
        <f t="shared" si="6"/>
        <v>0.14212347395098082</v>
      </c>
    </row>
    <row r="24" spans="1:33" x14ac:dyDescent="0.25">
      <c r="A24" s="87" t="s">
        <v>140</v>
      </c>
      <c r="B24" s="87"/>
      <c r="AB24" s="87" t="s">
        <v>140</v>
      </c>
      <c r="AC24" s="87"/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62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62" t="s">
        <v>94</v>
      </c>
      <c r="X25" s="51" t="s">
        <v>81</v>
      </c>
      <c r="Y25" s="51" t="s">
        <v>82</v>
      </c>
      <c r="Z25" s="62" t="s">
        <v>95</v>
      </c>
      <c r="AA25" s="49"/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43" t="s">
        <v>4</v>
      </c>
      <c r="B26" s="10">
        <v>3442</v>
      </c>
      <c r="C26" s="10">
        <v>686</v>
      </c>
      <c r="D26" s="10">
        <v>333</v>
      </c>
      <c r="E26" s="10">
        <v>178</v>
      </c>
      <c r="F26" s="10">
        <v>136</v>
      </c>
      <c r="G26" s="10">
        <v>97</v>
      </c>
      <c r="H26" s="10">
        <v>64</v>
      </c>
      <c r="I26" s="10">
        <v>47</v>
      </c>
      <c r="J26" s="10">
        <f>SUM(D26:I26)</f>
        <v>855</v>
      </c>
      <c r="K26" s="10">
        <v>29</v>
      </c>
      <c r="L26" s="10">
        <v>31</v>
      </c>
      <c r="M26" s="10">
        <v>26</v>
      </c>
      <c r="N26" s="10">
        <v>27</v>
      </c>
      <c r="O26" s="10">
        <v>21</v>
      </c>
      <c r="P26" s="10">
        <v>12</v>
      </c>
      <c r="Q26" s="10">
        <v>10</v>
      </c>
      <c r="R26" s="10">
        <v>9</v>
      </c>
      <c r="S26" s="10">
        <v>8</v>
      </c>
      <c r="T26" s="10">
        <v>4</v>
      </c>
      <c r="U26" s="10">
        <v>6</v>
      </c>
      <c r="V26" s="10">
        <v>6</v>
      </c>
      <c r="W26" s="10">
        <f>SUM(K26:V26)</f>
        <v>189</v>
      </c>
      <c r="X26" s="10">
        <v>38</v>
      </c>
      <c r="Y26" s="10">
        <v>26</v>
      </c>
      <c r="Z26" s="10">
        <f>SUM(X26:Y26)</f>
        <v>64</v>
      </c>
      <c r="AB26" s="43" t="s">
        <v>4</v>
      </c>
      <c r="AC26" s="19">
        <f>IFERROR(B26/SUM($B26+$C26+$J26+$W26+$Z26),"")</f>
        <v>0.65737203972498093</v>
      </c>
      <c r="AD26" s="19">
        <f>IFERROR(C26/SUM($B26+$C26+$J26+$W26+$Z26),"")</f>
        <v>0.13101604278074866</v>
      </c>
      <c r="AE26" s="19">
        <f>IFERROR(J26/SUM($B26+$C26+$J26+$W26+$Z26),"")</f>
        <v>0.16329258976317801</v>
      </c>
      <c r="AF26" s="19">
        <f>IFERROR(W26/SUM($B26+$C26+$J26+$W26+$Z26),"")</f>
        <v>3.6096256684491977E-2</v>
      </c>
      <c r="AG26" s="19">
        <f>IFERROR(Z26/SUM($B26+$C26+$J26+$W26+$Z26),"")</f>
        <v>1.2223071046600458E-2</v>
      </c>
    </row>
    <row r="27" spans="1:33" x14ac:dyDescent="0.25">
      <c r="A27" s="43" t="s">
        <v>43</v>
      </c>
      <c r="B27" s="10">
        <v>12</v>
      </c>
      <c r="C27" s="10">
        <v>2</v>
      </c>
      <c r="D27" s="10">
        <v>3</v>
      </c>
      <c r="E27" s="10">
        <v>0</v>
      </c>
      <c r="F27" s="10">
        <v>0</v>
      </c>
      <c r="G27" s="10">
        <v>1</v>
      </c>
      <c r="H27" s="10">
        <v>0</v>
      </c>
      <c r="I27" s="10">
        <v>0</v>
      </c>
      <c r="J27" s="10">
        <f t="shared" ref="J27:J42" si="7">SUM(D27:I27)</f>
        <v>4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42" si="8">SUM(K27:V27)</f>
        <v>0</v>
      </c>
      <c r="X27" s="10">
        <v>0</v>
      </c>
      <c r="Y27" s="10">
        <v>0</v>
      </c>
      <c r="Z27" s="10">
        <f t="shared" ref="Z27:Z42" si="9">SUM(X27:Y27)</f>
        <v>0</v>
      </c>
      <c r="AB27" s="43" t="s">
        <v>43</v>
      </c>
      <c r="AC27" s="19">
        <f t="shared" ref="AC27:AC42" si="10">IFERROR(B27/SUM($B27+$C27+$J27+$W27+$Z27),"")</f>
        <v>0.66666666666666663</v>
      </c>
      <c r="AD27" s="19">
        <f t="shared" ref="AD27:AD42" si="11">IFERROR(C27/SUM($B27+$C27+$J27+$W27+$Z27),"")</f>
        <v>0.1111111111111111</v>
      </c>
      <c r="AE27" s="19">
        <f t="shared" ref="AE27:AE42" si="12">IFERROR(J27/SUM($B27+$C27+$J27+$W27+$Z27),"")</f>
        <v>0.22222222222222221</v>
      </c>
      <c r="AF27" s="19">
        <f t="shared" ref="AF27:AF42" si="13">IFERROR(W27/SUM($B27+$C27+$J27+$W27+$Z27),"")</f>
        <v>0</v>
      </c>
      <c r="AG27" s="19">
        <f t="shared" ref="AG27:AG42" si="14">IFERROR(Z27/SUM($B27+$C27+$J27+$W27+$Z27),"")</f>
        <v>0</v>
      </c>
    </row>
    <row r="28" spans="1:33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7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8"/>
        <v>0</v>
      </c>
      <c r="X28" s="10">
        <v>0</v>
      </c>
      <c r="Y28" s="10">
        <v>0</v>
      </c>
      <c r="Z28" s="10">
        <f t="shared" si="9"/>
        <v>0</v>
      </c>
      <c r="AB28" s="43" t="s">
        <v>13</v>
      </c>
      <c r="AC28" s="19" t="str">
        <f t="shared" si="10"/>
        <v/>
      </c>
      <c r="AD28" s="19" t="str">
        <f t="shared" si="11"/>
        <v/>
      </c>
      <c r="AE28" s="19" t="str">
        <f t="shared" si="12"/>
        <v/>
      </c>
      <c r="AF28" s="19" t="str">
        <f t="shared" si="13"/>
        <v/>
      </c>
      <c r="AG28" s="19" t="str">
        <f t="shared" si="14"/>
        <v/>
      </c>
    </row>
    <row r="29" spans="1:33" x14ac:dyDescent="0.25">
      <c r="A29" s="43" t="s">
        <v>14</v>
      </c>
      <c r="B29" s="10">
        <v>19063</v>
      </c>
      <c r="C29" s="10">
        <v>1160</v>
      </c>
      <c r="D29" s="10">
        <v>311</v>
      </c>
      <c r="E29" s="10">
        <v>107</v>
      </c>
      <c r="F29" s="10">
        <v>56</v>
      </c>
      <c r="G29" s="10">
        <v>35</v>
      </c>
      <c r="H29" s="10">
        <v>22</v>
      </c>
      <c r="I29" s="10">
        <v>8</v>
      </c>
      <c r="J29" s="10">
        <f t="shared" si="7"/>
        <v>539</v>
      </c>
      <c r="K29" s="10">
        <v>11</v>
      </c>
      <c r="L29" s="10">
        <v>6</v>
      </c>
      <c r="M29" s="10">
        <v>5</v>
      </c>
      <c r="N29" s="10">
        <v>4</v>
      </c>
      <c r="O29" s="10">
        <v>3</v>
      </c>
      <c r="P29" s="10">
        <v>2</v>
      </c>
      <c r="Q29" s="10">
        <v>0</v>
      </c>
      <c r="R29" s="10">
        <v>3</v>
      </c>
      <c r="S29" s="10">
        <v>2</v>
      </c>
      <c r="T29" s="10">
        <v>1</v>
      </c>
      <c r="U29" s="10">
        <v>0</v>
      </c>
      <c r="V29" s="10">
        <v>0</v>
      </c>
      <c r="W29" s="10">
        <f t="shared" si="8"/>
        <v>37</v>
      </c>
      <c r="X29" s="10">
        <v>6</v>
      </c>
      <c r="Y29" s="10">
        <v>3</v>
      </c>
      <c r="Z29" s="10">
        <f t="shared" si="9"/>
        <v>9</v>
      </c>
      <c r="AB29" s="43" t="s">
        <v>14</v>
      </c>
      <c r="AC29" s="19">
        <f t="shared" si="10"/>
        <v>0.91613802383698573</v>
      </c>
      <c r="AD29" s="19">
        <f t="shared" si="11"/>
        <v>5.5747789311803152E-2</v>
      </c>
      <c r="AE29" s="19">
        <f t="shared" si="12"/>
        <v>2.5903498654363706E-2</v>
      </c>
      <c r="AF29" s="19">
        <f t="shared" si="13"/>
        <v>1.7781622452902729E-3</v>
      </c>
      <c r="AG29" s="19">
        <f t="shared" si="14"/>
        <v>4.3252595155709344E-4</v>
      </c>
    </row>
    <row r="30" spans="1:33" x14ac:dyDescent="0.25">
      <c r="A30" s="43" t="s">
        <v>36</v>
      </c>
      <c r="B30" s="10">
        <v>2</v>
      </c>
      <c r="C30" s="10">
        <v>1</v>
      </c>
      <c r="D30" s="10">
        <v>1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7"/>
        <v>1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8"/>
        <v>0</v>
      </c>
      <c r="X30" s="10">
        <v>0</v>
      </c>
      <c r="Y30" s="10">
        <v>0</v>
      </c>
      <c r="Z30" s="10">
        <f t="shared" si="9"/>
        <v>0</v>
      </c>
      <c r="AB30" s="43" t="s">
        <v>36</v>
      </c>
      <c r="AC30" s="19">
        <f t="shared" si="10"/>
        <v>0.5</v>
      </c>
      <c r="AD30" s="19">
        <f>IFERROR(C30/SUM($B30+$C30+$J30+$W30+$Z30),"")</f>
        <v>0.25</v>
      </c>
      <c r="AE30" s="19">
        <f t="shared" si="12"/>
        <v>0.25</v>
      </c>
      <c r="AF30" s="19">
        <f t="shared" si="13"/>
        <v>0</v>
      </c>
      <c r="AG30" s="19">
        <f t="shared" si="14"/>
        <v>0</v>
      </c>
    </row>
    <row r="31" spans="1:33" x14ac:dyDescent="0.25">
      <c r="A31" s="43" t="s">
        <v>39</v>
      </c>
      <c r="B31" s="10">
        <v>32</v>
      </c>
      <c r="C31" s="10">
        <v>9</v>
      </c>
      <c r="D31" s="10">
        <v>3</v>
      </c>
      <c r="E31" s="10">
        <v>1</v>
      </c>
      <c r="F31" s="10">
        <v>0</v>
      </c>
      <c r="G31" s="10">
        <v>1</v>
      </c>
      <c r="H31" s="10">
        <v>0</v>
      </c>
      <c r="I31" s="10">
        <v>0</v>
      </c>
      <c r="J31" s="10">
        <f t="shared" si="7"/>
        <v>5</v>
      </c>
      <c r="K31" s="10">
        <v>0</v>
      </c>
      <c r="L31" s="10">
        <v>1</v>
      </c>
      <c r="M31" s="10">
        <v>1</v>
      </c>
      <c r="N31" s="10">
        <v>1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8"/>
        <v>3</v>
      </c>
      <c r="X31" s="10">
        <v>0</v>
      </c>
      <c r="Y31" s="10">
        <v>0</v>
      </c>
      <c r="Z31" s="10">
        <f t="shared" si="9"/>
        <v>0</v>
      </c>
      <c r="AB31" s="43" t="s">
        <v>39</v>
      </c>
      <c r="AC31" s="19">
        <f t="shared" si="10"/>
        <v>0.65306122448979587</v>
      </c>
      <c r="AD31" s="19">
        <f t="shared" si="11"/>
        <v>0.18367346938775511</v>
      </c>
      <c r="AE31" s="19">
        <f t="shared" si="12"/>
        <v>0.10204081632653061</v>
      </c>
      <c r="AF31" s="19">
        <f t="shared" si="13"/>
        <v>6.1224489795918366E-2</v>
      </c>
      <c r="AG31" s="19">
        <f t="shared" si="14"/>
        <v>0</v>
      </c>
    </row>
    <row r="32" spans="1:33" x14ac:dyDescent="0.25">
      <c r="A32" s="43" t="s">
        <v>18</v>
      </c>
      <c r="B32" s="10">
        <v>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7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8"/>
        <v>0</v>
      </c>
      <c r="X32" s="10">
        <v>0</v>
      </c>
      <c r="Y32" s="10">
        <v>0</v>
      </c>
      <c r="Z32" s="10">
        <f t="shared" si="9"/>
        <v>0</v>
      </c>
      <c r="AB32" s="43" t="s">
        <v>18</v>
      </c>
      <c r="AC32" s="19">
        <f t="shared" si="10"/>
        <v>1</v>
      </c>
      <c r="AD32" s="19">
        <f t="shared" si="11"/>
        <v>0</v>
      </c>
      <c r="AE32" s="19">
        <f t="shared" si="12"/>
        <v>0</v>
      </c>
      <c r="AF32" s="19">
        <f t="shared" si="13"/>
        <v>0</v>
      </c>
      <c r="AG32" s="19">
        <f t="shared" si="14"/>
        <v>0</v>
      </c>
    </row>
    <row r="33" spans="1:43" x14ac:dyDescent="0.25">
      <c r="A33" s="43" t="s">
        <v>19</v>
      </c>
      <c r="B33" s="10">
        <v>1202</v>
      </c>
      <c r="C33" s="10">
        <v>57</v>
      </c>
      <c r="D33" s="10">
        <v>17</v>
      </c>
      <c r="E33" s="10">
        <v>5</v>
      </c>
      <c r="F33" s="10">
        <v>4</v>
      </c>
      <c r="G33" s="10">
        <v>4</v>
      </c>
      <c r="H33" s="10">
        <v>0</v>
      </c>
      <c r="I33" s="10">
        <v>1</v>
      </c>
      <c r="J33" s="10">
        <f t="shared" si="7"/>
        <v>31</v>
      </c>
      <c r="K33" s="10">
        <v>1</v>
      </c>
      <c r="L33" s="10">
        <v>1</v>
      </c>
      <c r="M33" s="10">
        <v>0</v>
      </c>
      <c r="N33" s="10">
        <v>0</v>
      </c>
      <c r="O33" s="10">
        <v>1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8"/>
        <v>3</v>
      </c>
      <c r="X33" s="10">
        <v>0</v>
      </c>
      <c r="Y33" s="10">
        <v>0</v>
      </c>
      <c r="Z33" s="10">
        <f t="shared" si="9"/>
        <v>0</v>
      </c>
      <c r="AB33" s="43" t="s">
        <v>19</v>
      </c>
      <c r="AC33" s="19">
        <f t="shared" si="10"/>
        <v>0.9296210363495746</v>
      </c>
      <c r="AD33" s="19">
        <f t="shared" si="11"/>
        <v>4.4083526682134569E-2</v>
      </c>
      <c r="AE33" s="19">
        <f t="shared" si="12"/>
        <v>2.3975251353441609E-2</v>
      </c>
      <c r="AF33" s="19">
        <f t="shared" si="13"/>
        <v>2.3201856148491878E-3</v>
      </c>
      <c r="AG33" s="19">
        <f t="shared" si="14"/>
        <v>0</v>
      </c>
    </row>
    <row r="34" spans="1:43" x14ac:dyDescent="0.25">
      <c r="A34" s="43" t="s">
        <v>23</v>
      </c>
      <c r="B34" s="10">
        <v>152</v>
      </c>
      <c r="C34" s="10">
        <v>1</v>
      </c>
      <c r="D34" s="10">
        <v>3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7"/>
        <v>3</v>
      </c>
      <c r="K34" s="10">
        <v>0</v>
      </c>
      <c r="L34" s="10">
        <v>1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</v>
      </c>
      <c r="U34" s="10">
        <v>0</v>
      </c>
      <c r="V34" s="10">
        <v>0</v>
      </c>
      <c r="W34" s="10">
        <f t="shared" si="8"/>
        <v>2</v>
      </c>
      <c r="X34" s="10">
        <v>0</v>
      </c>
      <c r="Y34" s="10">
        <v>0</v>
      </c>
      <c r="Z34" s="10">
        <f t="shared" si="9"/>
        <v>0</v>
      </c>
      <c r="AB34" s="43" t="s">
        <v>23</v>
      </c>
      <c r="AC34" s="19">
        <f t="shared" si="10"/>
        <v>0.96202531645569622</v>
      </c>
      <c r="AD34" s="19">
        <f t="shared" si="11"/>
        <v>6.3291139240506328E-3</v>
      </c>
      <c r="AE34" s="19">
        <f t="shared" si="12"/>
        <v>1.8987341772151899E-2</v>
      </c>
      <c r="AF34" s="19">
        <f t="shared" si="13"/>
        <v>1.2658227848101266E-2</v>
      </c>
      <c r="AG34" s="19">
        <f t="shared" si="14"/>
        <v>0</v>
      </c>
    </row>
    <row r="35" spans="1:43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7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8"/>
        <v>0</v>
      </c>
      <c r="X35" s="10">
        <v>0</v>
      </c>
      <c r="Y35" s="10">
        <v>0</v>
      </c>
      <c r="Z35" s="10">
        <f t="shared" si="9"/>
        <v>0</v>
      </c>
      <c r="AB35" s="43" t="s">
        <v>26</v>
      </c>
      <c r="AC35" s="19" t="str">
        <f t="shared" si="10"/>
        <v/>
      </c>
      <c r="AD35" s="19" t="str">
        <f t="shared" si="11"/>
        <v/>
      </c>
      <c r="AE35" s="19" t="str">
        <f t="shared" si="12"/>
        <v/>
      </c>
      <c r="AF35" s="19" t="str">
        <f t="shared" si="13"/>
        <v/>
      </c>
      <c r="AG35" s="19" t="str">
        <f t="shared" si="14"/>
        <v/>
      </c>
    </row>
    <row r="36" spans="1:43" x14ac:dyDescent="0.25">
      <c r="A36" s="43" t="s">
        <v>160</v>
      </c>
      <c r="B36" s="10">
        <v>1420</v>
      </c>
      <c r="C36" s="10">
        <v>17</v>
      </c>
      <c r="D36" s="10">
        <v>8</v>
      </c>
      <c r="E36" s="10">
        <v>4</v>
      </c>
      <c r="F36" s="10">
        <v>1</v>
      </c>
      <c r="G36" s="10">
        <v>0</v>
      </c>
      <c r="H36" s="10">
        <v>1</v>
      </c>
      <c r="I36" s="10">
        <v>0</v>
      </c>
      <c r="J36" s="10">
        <f t="shared" si="7"/>
        <v>14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8"/>
        <v>0</v>
      </c>
      <c r="X36" s="10">
        <v>0</v>
      </c>
      <c r="Y36" s="10">
        <v>0</v>
      </c>
      <c r="Z36" s="10">
        <f t="shared" si="9"/>
        <v>0</v>
      </c>
      <c r="AB36" s="43" t="s">
        <v>160</v>
      </c>
      <c r="AC36" s="19">
        <f t="shared" si="10"/>
        <v>0.97863542384562374</v>
      </c>
      <c r="AD36" s="19">
        <f t="shared" si="11"/>
        <v>1.171605789110958E-2</v>
      </c>
      <c r="AE36" s="19">
        <f t="shared" si="12"/>
        <v>9.6485182632667123E-3</v>
      </c>
      <c r="AF36" s="19">
        <f t="shared" si="13"/>
        <v>0</v>
      </c>
      <c r="AG36" s="19">
        <f t="shared" si="14"/>
        <v>0</v>
      </c>
    </row>
    <row r="37" spans="1:43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7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8"/>
        <v>0</v>
      </c>
      <c r="X37" s="10">
        <v>0</v>
      </c>
      <c r="Y37" s="10">
        <v>0</v>
      </c>
      <c r="Z37" s="10">
        <f t="shared" si="9"/>
        <v>0</v>
      </c>
      <c r="AB37" s="43" t="s">
        <v>161</v>
      </c>
      <c r="AC37" s="19" t="str">
        <f t="shared" si="10"/>
        <v/>
      </c>
      <c r="AD37" s="19" t="str">
        <f t="shared" si="11"/>
        <v/>
      </c>
      <c r="AE37" s="19" t="str">
        <f t="shared" si="12"/>
        <v/>
      </c>
      <c r="AF37" s="19" t="str">
        <f t="shared" si="13"/>
        <v/>
      </c>
      <c r="AG37" s="19" t="str">
        <f t="shared" si="14"/>
        <v/>
      </c>
    </row>
    <row r="38" spans="1:43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7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1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si="8"/>
        <v>1</v>
      </c>
      <c r="X38" s="10">
        <v>0</v>
      </c>
      <c r="Y38" s="10">
        <v>0</v>
      </c>
      <c r="Z38" s="10">
        <f t="shared" si="9"/>
        <v>0</v>
      </c>
      <c r="AB38" s="43" t="s">
        <v>89</v>
      </c>
      <c r="AC38" s="19">
        <f t="shared" si="10"/>
        <v>0</v>
      </c>
      <c r="AD38" s="19">
        <f t="shared" si="11"/>
        <v>0</v>
      </c>
      <c r="AE38" s="19">
        <f t="shared" si="12"/>
        <v>0</v>
      </c>
      <c r="AF38" s="19">
        <f t="shared" si="13"/>
        <v>1</v>
      </c>
      <c r="AG38" s="19">
        <f t="shared" si="14"/>
        <v>0</v>
      </c>
    </row>
    <row r="39" spans="1:43" x14ac:dyDescent="0.25">
      <c r="A39" s="43" t="s">
        <v>32</v>
      </c>
      <c r="B39" s="10">
        <v>587</v>
      </c>
      <c r="C39" s="10">
        <v>102</v>
      </c>
      <c r="D39" s="10">
        <v>36</v>
      </c>
      <c r="E39" s="10">
        <v>28</v>
      </c>
      <c r="F39" s="10">
        <v>6</v>
      </c>
      <c r="G39" s="10">
        <v>7</v>
      </c>
      <c r="H39" s="10">
        <v>8</v>
      </c>
      <c r="I39" s="10">
        <v>4</v>
      </c>
      <c r="J39" s="10">
        <f t="shared" si="7"/>
        <v>89</v>
      </c>
      <c r="K39" s="10">
        <v>3</v>
      </c>
      <c r="L39" s="10">
        <v>3</v>
      </c>
      <c r="M39" s="10">
        <v>2</v>
      </c>
      <c r="N39" s="10">
        <v>1</v>
      </c>
      <c r="O39" s="10">
        <v>3</v>
      </c>
      <c r="P39" s="10">
        <v>4</v>
      </c>
      <c r="Q39" s="10">
        <v>2</v>
      </c>
      <c r="R39" s="10">
        <v>3</v>
      </c>
      <c r="S39" s="10">
        <v>0</v>
      </c>
      <c r="T39" s="10">
        <v>1</v>
      </c>
      <c r="U39" s="10">
        <v>2</v>
      </c>
      <c r="V39" s="10">
        <v>1</v>
      </c>
      <c r="W39" s="10">
        <f t="shared" si="8"/>
        <v>25</v>
      </c>
      <c r="X39" s="10">
        <v>2</v>
      </c>
      <c r="Y39" s="10">
        <v>2</v>
      </c>
      <c r="Z39" s="10">
        <f t="shared" si="9"/>
        <v>4</v>
      </c>
      <c r="AB39" s="43" t="s">
        <v>32</v>
      </c>
      <c r="AC39" s="19">
        <f t="shared" si="10"/>
        <v>0.72738537794299873</v>
      </c>
      <c r="AD39" s="19">
        <f t="shared" si="11"/>
        <v>0.12639405204460966</v>
      </c>
      <c r="AE39" s="19">
        <f t="shared" si="12"/>
        <v>0.11028500619578686</v>
      </c>
      <c r="AF39" s="19">
        <f t="shared" si="13"/>
        <v>3.0978934324659233E-2</v>
      </c>
      <c r="AG39" s="19">
        <f t="shared" si="14"/>
        <v>4.9566294919454771E-3</v>
      </c>
    </row>
    <row r="40" spans="1:43" x14ac:dyDescent="0.25">
      <c r="A40" s="43" t="s">
        <v>90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7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8"/>
        <v>0</v>
      </c>
      <c r="X40" s="10">
        <v>0</v>
      </c>
      <c r="Y40" s="10">
        <v>0</v>
      </c>
      <c r="Z40" s="10">
        <f t="shared" si="9"/>
        <v>0</v>
      </c>
      <c r="AB40" s="43" t="s">
        <v>90</v>
      </c>
      <c r="AC40" s="19">
        <f t="shared" si="10"/>
        <v>1</v>
      </c>
      <c r="AD40" s="19">
        <f t="shared" si="11"/>
        <v>0</v>
      </c>
      <c r="AE40" s="19">
        <f t="shared" si="12"/>
        <v>0</v>
      </c>
      <c r="AF40" s="19">
        <f t="shared" si="13"/>
        <v>0</v>
      </c>
      <c r="AG40" s="19">
        <f t="shared" si="14"/>
        <v>0</v>
      </c>
    </row>
    <row r="41" spans="1:43" x14ac:dyDescent="0.25">
      <c r="A41" s="43" t="s">
        <v>91</v>
      </c>
      <c r="B41" s="10">
        <v>1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7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8"/>
        <v>0</v>
      </c>
      <c r="X41" s="10">
        <v>0</v>
      </c>
      <c r="Y41" s="10">
        <v>0</v>
      </c>
      <c r="Z41" s="10">
        <f t="shared" si="9"/>
        <v>0</v>
      </c>
      <c r="AB41" s="43" t="s">
        <v>91</v>
      </c>
      <c r="AC41" s="19">
        <f t="shared" si="10"/>
        <v>1</v>
      </c>
      <c r="AD41" s="19">
        <f t="shared" si="11"/>
        <v>0</v>
      </c>
      <c r="AE41" s="19">
        <f t="shared" si="12"/>
        <v>0</v>
      </c>
      <c r="AF41" s="19">
        <f t="shared" si="13"/>
        <v>0</v>
      </c>
      <c r="AG41" s="19">
        <f t="shared" si="14"/>
        <v>0</v>
      </c>
    </row>
    <row r="42" spans="1:43" x14ac:dyDescent="0.25">
      <c r="A42" s="52" t="s">
        <v>33</v>
      </c>
      <c r="B42" s="53">
        <v>25915</v>
      </c>
      <c r="C42" s="53">
        <v>2035</v>
      </c>
      <c r="D42" s="53">
        <v>715</v>
      </c>
      <c r="E42" s="53">
        <v>323</v>
      </c>
      <c r="F42" s="53">
        <v>203</v>
      </c>
      <c r="G42" s="53">
        <v>145</v>
      </c>
      <c r="H42" s="53">
        <v>95</v>
      </c>
      <c r="I42" s="53">
        <v>60</v>
      </c>
      <c r="J42" s="61">
        <f t="shared" si="7"/>
        <v>1541</v>
      </c>
      <c r="K42" s="53">
        <v>44</v>
      </c>
      <c r="L42" s="53">
        <v>43</v>
      </c>
      <c r="M42" s="53">
        <v>34</v>
      </c>
      <c r="N42" s="53">
        <v>33</v>
      </c>
      <c r="O42" s="53">
        <v>29</v>
      </c>
      <c r="P42" s="53">
        <v>18</v>
      </c>
      <c r="Q42" s="53">
        <v>12</v>
      </c>
      <c r="R42" s="53">
        <v>15</v>
      </c>
      <c r="S42" s="53">
        <v>10</v>
      </c>
      <c r="T42" s="53">
        <v>7</v>
      </c>
      <c r="U42" s="53">
        <v>8</v>
      </c>
      <c r="V42" s="53">
        <v>7</v>
      </c>
      <c r="W42" s="61">
        <f t="shared" si="8"/>
        <v>260</v>
      </c>
      <c r="X42" s="53">
        <v>46</v>
      </c>
      <c r="Y42" s="53">
        <v>31</v>
      </c>
      <c r="Z42" s="61">
        <f t="shared" si="9"/>
        <v>77</v>
      </c>
      <c r="AB42" s="52" t="s">
        <v>33</v>
      </c>
      <c r="AC42" s="65">
        <f t="shared" si="10"/>
        <v>0.86881453667694786</v>
      </c>
      <c r="AD42" s="65">
        <f t="shared" si="11"/>
        <v>6.8224487059139069E-2</v>
      </c>
      <c r="AE42" s="134">
        <f t="shared" si="12"/>
        <v>5.1662867104733806E-2</v>
      </c>
      <c r="AF42" s="134">
        <f t="shared" si="13"/>
        <v>8.7166420812659247E-3</v>
      </c>
      <c r="AG42" s="134">
        <f t="shared" si="14"/>
        <v>2.5814670779133698E-3</v>
      </c>
    </row>
    <row r="45" spans="1:43" x14ac:dyDescent="0.25">
      <c r="AB45" s="157"/>
      <c r="AC45" s="157"/>
      <c r="AD45" s="81"/>
      <c r="AE45" s="81"/>
      <c r="AF45" s="81"/>
      <c r="AG45" s="81"/>
      <c r="AI45" s="72"/>
      <c r="AJ45" s="72"/>
      <c r="AK45" s="151" t="s">
        <v>105</v>
      </c>
      <c r="AL45" s="74" t="s">
        <v>106</v>
      </c>
      <c r="AM45" s="152"/>
      <c r="AN45" s="152"/>
      <c r="AO45" s="152"/>
      <c r="AP45" s="152"/>
      <c r="AQ45" s="152"/>
    </row>
    <row r="46" spans="1:43" x14ac:dyDescent="0.25">
      <c r="A46" s="72"/>
      <c r="B46" s="72"/>
      <c r="C46" s="73" t="s">
        <v>105</v>
      </c>
      <c r="D46" s="74"/>
      <c r="E46" s="74"/>
      <c r="F46" s="74"/>
      <c r="G46" s="74"/>
      <c r="H46" s="74"/>
      <c r="I46" s="74"/>
      <c r="J46" s="74" t="s">
        <v>106</v>
      </c>
      <c r="AB46" s="157"/>
      <c r="AC46" s="157"/>
      <c r="AD46" s="155"/>
      <c r="AE46" s="155"/>
      <c r="AF46" s="155"/>
      <c r="AG46" s="155"/>
      <c r="AI46" s="215" t="s">
        <v>3</v>
      </c>
      <c r="AJ46" s="150" t="s">
        <v>107</v>
      </c>
      <c r="AK46" s="19">
        <v>0.31179057671035915</v>
      </c>
      <c r="AL46" s="113">
        <v>0.86881453667694786</v>
      </c>
      <c r="AM46" s="153"/>
      <c r="AN46" s="153"/>
      <c r="AO46" s="153"/>
      <c r="AP46" s="153"/>
      <c r="AQ46" s="153"/>
    </row>
    <row r="47" spans="1:43" x14ac:dyDescent="0.25">
      <c r="A47" s="215" t="s">
        <v>4</v>
      </c>
      <c r="B47" s="75" t="s">
        <v>107</v>
      </c>
      <c r="C47" s="19">
        <v>9.3637325660952522E-2</v>
      </c>
      <c r="D47" s="76"/>
      <c r="E47" s="76"/>
      <c r="F47" s="76"/>
      <c r="G47" s="76"/>
      <c r="H47" s="76"/>
      <c r="I47" s="76"/>
      <c r="J47" s="77">
        <v>0.65737203972498093</v>
      </c>
      <c r="AB47" s="157"/>
      <c r="AC47" s="157"/>
      <c r="AD47" s="156"/>
      <c r="AE47" s="156"/>
      <c r="AF47" s="156"/>
      <c r="AG47" s="156"/>
      <c r="AI47" s="215"/>
      <c r="AJ47" s="78" t="s">
        <v>108</v>
      </c>
      <c r="AK47" s="19">
        <v>0.13312513541540258</v>
      </c>
      <c r="AL47" s="113">
        <v>6.8224487059139069E-2</v>
      </c>
      <c r="AM47" s="154"/>
      <c r="AN47" s="154"/>
      <c r="AO47" s="154"/>
      <c r="AP47" s="154"/>
      <c r="AQ47" s="154"/>
    </row>
    <row r="48" spans="1:43" x14ac:dyDescent="0.25">
      <c r="A48" s="215"/>
      <c r="B48" s="78" t="s">
        <v>108</v>
      </c>
      <c r="C48" s="19">
        <v>9.5798909574046451E-2</v>
      </c>
      <c r="D48" s="77"/>
      <c r="E48" s="77"/>
      <c r="F48" s="77"/>
      <c r="G48" s="77"/>
      <c r="H48" s="77"/>
      <c r="I48" s="77"/>
      <c r="J48" s="77">
        <v>0.13101604278074866</v>
      </c>
      <c r="AB48" s="157"/>
      <c r="AC48" s="157"/>
      <c r="AD48" s="156"/>
      <c r="AE48" s="156"/>
      <c r="AF48" s="156"/>
      <c r="AG48" s="156"/>
      <c r="AI48" s="215"/>
      <c r="AJ48" s="150" t="s">
        <v>93</v>
      </c>
      <c r="AK48" s="19">
        <v>0.2659890709190933</v>
      </c>
      <c r="AL48" s="113">
        <v>5.1662867104733806E-2</v>
      </c>
      <c r="AM48" s="154"/>
      <c r="AN48" s="154"/>
      <c r="AO48" s="154"/>
      <c r="AP48" s="154"/>
      <c r="AQ48" s="154"/>
    </row>
    <row r="49" spans="1:43" x14ac:dyDescent="0.25">
      <c r="A49" s="215"/>
      <c r="B49" s="75" t="s">
        <v>93</v>
      </c>
      <c r="C49" s="19">
        <v>0.33227487408507256</v>
      </c>
      <c r="D49" s="77"/>
      <c r="E49" s="77"/>
      <c r="F49" s="77"/>
      <c r="G49" s="77"/>
      <c r="H49" s="77"/>
      <c r="I49" s="77"/>
      <c r="J49" s="77">
        <v>0.16329258976317801</v>
      </c>
      <c r="AB49" s="157"/>
      <c r="AC49" s="157"/>
      <c r="AD49" s="156"/>
      <c r="AE49" s="156"/>
      <c r="AF49" s="156"/>
      <c r="AG49" s="156"/>
      <c r="AI49" s="215"/>
      <c r="AJ49" s="150" t="s">
        <v>109</v>
      </c>
      <c r="AK49" s="19">
        <v>0.1469717430041641</v>
      </c>
      <c r="AL49" s="113">
        <v>8.7166420812659247E-3</v>
      </c>
      <c r="AM49" s="154"/>
      <c r="AN49" s="154"/>
      <c r="AO49" s="154"/>
      <c r="AP49" s="154"/>
      <c r="AQ49" s="154"/>
    </row>
    <row r="50" spans="1:43" x14ac:dyDescent="0.25">
      <c r="A50" s="215"/>
      <c r="B50" s="75" t="s">
        <v>109</v>
      </c>
      <c r="C50" s="77">
        <v>0.2252426702931867</v>
      </c>
      <c r="D50" s="77"/>
      <c r="E50" s="77"/>
      <c r="F50" s="77"/>
      <c r="G50" s="77"/>
      <c r="H50" s="77"/>
      <c r="I50" s="77"/>
      <c r="J50" s="77">
        <v>3.6096256684491977E-2</v>
      </c>
      <c r="AB50" s="157"/>
      <c r="AC50" s="157"/>
      <c r="AD50" s="156"/>
      <c r="AE50" s="156"/>
      <c r="AF50" s="156"/>
      <c r="AG50" s="156"/>
      <c r="AI50" s="215"/>
      <c r="AJ50" s="150" t="s">
        <v>95</v>
      </c>
      <c r="AK50" s="19">
        <v>0.14212347395098082</v>
      </c>
      <c r="AL50" s="113">
        <v>2.5814670779133698E-3</v>
      </c>
      <c r="AM50" s="154"/>
      <c r="AN50" s="154"/>
      <c r="AO50" s="154"/>
      <c r="AP50" s="154"/>
      <c r="AQ50" s="154"/>
    </row>
    <row r="51" spans="1:43" x14ac:dyDescent="0.25">
      <c r="A51" s="215"/>
      <c r="B51" s="75" t="s">
        <v>95</v>
      </c>
      <c r="C51" s="77">
        <v>0.25304622038674174</v>
      </c>
      <c r="D51" s="77"/>
      <c r="E51" s="77"/>
      <c r="F51" s="77"/>
      <c r="G51" s="77"/>
      <c r="H51" s="77"/>
      <c r="I51" s="77"/>
      <c r="J51" s="77">
        <v>1.2223071046600458E-2</v>
      </c>
      <c r="AB51" s="157"/>
      <c r="AC51" s="157"/>
      <c r="AD51" s="81"/>
      <c r="AE51" s="81"/>
      <c r="AF51" s="81"/>
      <c r="AG51" s="81"/>
      <c r="AI51" s="217" t="s">
        <v>186</v>
      </c>
      <c r="AJ51" s="150" t="s">
        <v>107</v>
      </c>
      <c r="AK51" s="19">
        <v>0.39482348373932524</v>
      </c>
      <c r="AL51" s="113">
        <v>0.90444055944055946</v>
      </c>
    </row>
    <row r="52" spans="1:43" x14ac:dyDescent="0.25">
      <c r="A52" s="215" t="s">
        <v>14</v>
      </c>
      <c r="B52" s="75" t="s">
        <v>107</v>
      </c>
      <c r="C52" s="29">
        <v>0.55841015929100279</v>
      </c>
      <c r="D52" s="29"/>
      <c r="E52" s="29"/>
      <c r="F52" s="29"/>
      <c r="G52" s="29"/>
      <c r="H52" s="29"/>
      <c r="I52" s="29"/>
      <c r="J52" s="77">
        <v>0.91613802383698573</v>
      </c>
      <c r="K52">
        <v>5.2780274817002697E-2</v>
      </c>
      <c r="L52">
        <v>2.3757544625658149E-2</v>
      </c>
      <c r="M52">
        <v>1.7122554685159025E-3</v>
      </c>
      <c r="N52">
        <v>3.8525748041607808E-4</v>
      </c>
      <c r="AB52" s="157"/>
      <c r="AC52" s="157"/>
      <c r="AD52" s="81"/>
      <c r="AE52" s="81"/>
      <c r="AF52" s="81"/>
      <c r="AG52" s="81"/>
      <c r="AI52" s="217"/>
      <c r="AJ52" s="78" t="s">
        <v>108</v>
      </c>
      <c r="AK52" s="19">
        <v>0.13347375677806544</v>
      </c>
      <c r="AL52" s="113">
        <v>5.3041958041958041E-2</v>
      </c>
    </row>
    <row r="53" spans="1:43" x14ac:dyDescent="0.25">
      <c r="A53" s="215"/>
      <c r="B53" s="78" t="s">
        <v>108</v>
      </c>
      <c r="C53" s="29">
        <v>0.17125819970221859</v>
      </c>
      <c r="D53" s="29"/>
      <c r="E53" s="29"/>
      <c r="F53" s="29"/>
      <c r="G53" s="29"/>
      <c r="H53" s="29"/>
      <c r="I53" s="29"/>
      <c r="J53" s="77">
        <v>5.5747789311803152E-2</v>
      </c>
      <c r="AB53" s="157"/>
      <c r="AC53" s="157"/>
      <c r="AD53" s="155"/>
      <c r="AE53" s="155"/>
      <c r="AF53" s="155"/>
      <c r="AG53" s="155"/>
      <c r="AI53" s="217"/>
      <c r="AJ53" s="150" t="s">
        <v>93</v>
      </c>
      <c r="AK53" s="19">
        <v>0.23487334802939711</v>
      </c>
      <c r="AL53" s="113">
        <v>3.4545454545454546E-2</v>
      </c>
    </row>
    <row r="54" spans="1:43" x14ac:dyDescent="0.25">
      <c r="A54" s="215"/>
      <c r="B54" s="75" t="s">
        <v>93</v>
      </c>
      <c r="C54" s="29">
        <v>0.19092174217531618</v>
      </c>
      <c r="D54" s="29"/>
      <c r="E54" s="29"/>
      <c r="F54" s="29"/>
      <c r="G54" s="29"/>
      <c r="H54" s="29"/>
      <c r="I54" s="29"/>
      <c r="J54" s="77">
        <v>2.5903498654363706E-2</v>
      </c>
      <c r="AB54" s="157"/>
      <c r="AC54" s="157"/>
      <c r="AD54" s="156"/>
      <c r="AE54" s="156"/>
      <c r="AF54" s="156"/>
      <c r="AG54" s="156"/>
      <c r="AI54" s="217"/>
      <c r="AJ54" s="150" t="s">
        <v>109</v>
      </c>
      <c r="AK54" s="19">
        <v>0.1376208013285167</v>
      </c>
      <c r="AL54" s="113">
        <v>6.1888111888111887E-3</v>
      </c>
    </row>
    <row r="55" spans="1:43" x14ac:dyDescent="0.25">
      <c r="A55" s="215"/>
      <c r="B55" s="75" t="s">
        <v>109</v>
      </c>
      <c r="C55" s="29">
        <v>4.4278770241903111E-2</v>
      </c>
      <c r="D55" s="29"/>
      <c r="E55" s="29"/>
      <c r="F55" s="29"/>
      <c r="G55" s="29"/>
      <c r="H55" s="29"/>
      <c r="I55" s="29"/>
      <c r="J55" s="77">
        <v>1.7781622452902729E-3</v>
      </c>
      <c r="AB55" s="81"/>
      <c r="AC55" s="156"/>
      <c r="AD55" s="156"/>
      <c r="AE55" s="156"/>
      <c r="AF55" s="156"/>
      <c r="AG55" s="156"/>
      <c r="AI55" s="217"/>
      <c r="AJ55" s="150" t="s">
        <v>95</v>
      </c>
      <c r="AK55" s="19">
        <v>9.9208610124695645E-2</v>
      </c>
      <c r="AL55" s="113">
        <v>1.7832167832167833E-3</v>
      </c>
    </row>
    <row r="56" spans="1:43" x14ac:dyDescent="0.25">
      <c r="A56" s="215"/>
      <c r="B56" s="75" t="s">
        <v>95</v>
      </c>
      <c r="C56" s="29">
        <v>3.5131128589559329E-2</v>
      </c>
      <c r="D56" s="29"/>
      <c r="E56" s="29"/>
      <c r="F56" s="29"/>
      <c r="G56" s="29"/>
      <c r="H56" s="29"/>
      <c r="I56" s="29"/>
      <c r="J56" s="77">
        <v>4.3252595155709344E-4</v>
      </c>
      <c r="AB56" s="81"/>
      <c r="AC56" s="156"/>
      <c r="AD56" s="156"/>
      <c r="AE56" s="156"/>
      <c r="AF56" s="156"/>
      <c r="AG56" s="156"/>
      <c r="AI56" s="215" t="s">
        <v>41</v>
      </c>
      <c r="AJ56" s="150" t="s">
        <v>107</v>
      </c>
      <c r="AK56" s="19">
        <v>0.23405965628395015</v>
      </c>
      <c r="AL56" s="113">
        <v>0.80589970501474928</v>
      </c>
    </row>
    <row r="57" spans="1:43" x14ac:dyDescent="0.25">
      <c r="AB57" s="81"/>
      <c r="AC57" s="156"/>
      <c r="AD57" s="156"/>
      <c r="AE57" s="156"/>
      <c r="AF57" s="156"/>
      <c r="AG57" s="156"/>
      <c r="AI57" s="215"/>
      <c r="AJ57" s="78" t="s">
        <v>108</v>
      </c>
      <c r="AK57" s="19">
        <v>0.13564181118967228</v>
      </c>
      <c r="AL57" s="113">
        <v>9.6361848574237949E-2</v>
      </c>
    </row>
    <row r="58" spans="1:43" x14ac:dyDescent="0.25">
      <c r="AI58" s="215"/>
      <c r="AJ58" s="150" t="s">
        <v>93</v>
      </c>
      <c r="AK58" s="19">
        <v>0.28934253943922827</v>
      </c>
      <c r="AL58" s="113">
        <v>7.6302851524090456E-2</v>
      </c>
    </row>
    <row r="59" spans="1:43" x14ac:dyDescent="0.25">
      <c r="AI59" s="215"/>
      <c r="AJ59" s="150" t="s">
        <v>109</v>
      </c>
      <c r="AK59" s="19">
        <v>0.19553946956878215</v>
      </c>
      <c r="AL59" s="113">
        <v>1.6519174041297935E-2</v>
      </c>
    </row>
    <row r="60" spans="1:43" x14ac:dyDescent="0.25">
      <c r="AI60" s="215"/>
      <c r="AJ60" s="150" t="s">
        <v>95</v>
      </c>
      <c r="AK60" s="19">
        <v>0.14541652351836715</v>
      </c>
      <c r="AL60" s="113">
        <v>4.9164208456243851E-3</v>
      </c>
    </row>
    <row r="61" spans="1:43" x14ac:dyDescent="0.25">
      <c r="AI61" s="215" t="s">
        <v>42</v>
      </c>
      <c r="AJ61" s="150" t="s">
        <v>107</v>
      </c>
      <c r="AK61" s="19">
        <v>0.26988699231709357</v>
      </c>
      <c r="AL61" s="113">
        <v>0.78669724770642202</v>
      </c>
    </row>
    <row r="62" spans="1:43" x14ac:dyDescent="0.25">
      <c r="AI62" s="215"/>
      <c r="AJ62" s="78" t="s">
        <v>108</v>
      </c>
      <c r="AK62" s="19">
        <v>0.20931167880731769</v>
      </c>
      <c r="AL62" s="113">
        <v>0.12155963302752294</v>
      </c>
    </row>
    <row r="63" spans="1:43" x14ac:dyDescent="0.25">
      <c r="AI63" s="215"/>
      <c r="AJ63" s="150" t="s">
        <v>93</v>
      </c>
      <c r="AK63" s="19">
        <v>0.31625806558247133</v>
      </c>
      <c r="AL63" s="113">
        <v>8.027522935779817E-2</v>
      </c>
    </row>
    <row r="64" spans="1:43" x14ac:dyDescent="0.25">
      <c r="AI64" s="215"/>
      <c r="AJ64" s="150" t="s">
        <v>109</v>
      </c>
      <c r="AK64" s="19">
        <v>0.14561435244403104</v>
      </c>
      <c r="AL64" s="113">
        <v>9.1743119266055051E-3</v>
      </c>
    </row>
    <row r="65" spans="35:38" x14ac:dyDescent="0.25">
      <c r="AI65" s="215"/>
      <c r="AJ65" s="150" t="s">
        <v>95</v>
      </c>
      <c r="AK65" s="19">
        <v>5.8928910849086497E-2</v>
      </c>
      <c r="AL65" s="113">
        <v>2.2935779816513763E-3</v>
      </c>
    </row>
    <row r="66" spans="35:38" x14ac:dyDescent="0.25">
      <c r="AI66" s="215" t="s">
        <v>112</v>
      </c>
      <c r="AJ66" s="180" t="s">
        <v>107</v>
      </c>
      <c r="AK66" s="19">
        <f>(AK61+AK56+AK51+AK46)/4</f>
        <v>0.302640177262682</v>
      </c>
      <c r="AL66" s="113">
        <f>(AL61+AL56+AL51+AL46)/4</f>
        <v>0.84146301220966957</v>
      </c>
    </row>
    <row r="67" spans="35:38" x14ac:dyDescent="0.25">
      <c r="AI67" s="215"/>
      <c r="AJ67" s="78" t="s">
        <v>108</v>
      </c>
      <c r="AK67" s="19">
        <f t="shared" ref="AK67:AL70" si="15">(AK62+AK57+AK52+AK47)/4</f>
        <v>0.15288809554761448</v>
      </c>
      <c r="AL67" s="113">
        <f t="shared" si="15"/>
        <v>8.4796981675714506E-2</v>
      </c>
    </row>
    <row r="68" spans="35:38" x14ac:dyDescent="0.25">
      <c r="AI68" s="215"/>
      <c r="AJ68" s="180" t="s">
        <v>93</v>
      </c>
      <c r="AK68" s="19">
        <f t="shared" si="15"/>
        <v>0.27661575599254751</v>
      </c>
      <c r="AL68" s="113">
        <f t="shared" si="15"/>
        <v>6.0696600633019245E-2</v>
      </c>
    </row>
    <row r="69" spans="35:38" x14ac:dyDescent="0.25">
      <c r="AI69" s="215"/>
      <c r="AJ69" s="180" t="s">
        <v>109</v>
      </c>
      <c r="AK69" s="19">
        <f t="shared" si="15"/>
        <v>0.15643659158637352</v>
      </c>
      <c r="AL69" s="113">
        <f t="shared" si="15"/>
        <v>1.0149734809495138E-2</v>
      </c>
    </row>
    <row r="70" spans="35:38" x14ac:dyDescent="0.25">
      <c r="AI70" s="215"/>
      <c r="AJ70" s="180" t="s">
        <v>95</v>
      </c>
      <c r="AK70" s="19">
        <f t="shared" si="15"/>
        <v>0.11141937961078252</v>
      </c>
      <c r="AL70" s="113">
        <f t="shared" si="15"/>
        <v>2.8936706721014787E-3</v>
      </c>
    </row>
  </sheetData>
  <mergeCells count="9">
    <mergeCell ref="AI66:AI70"/>
    <mergeCell ref="AI61:AI65"/>
    <mergeCell ref="A52:A56"/>
    <mergeCell ref="A47:A51"/>
    <mergeCell ref="A3:B3"/>
    <mergeCell ref="AB3:AC3"/>
    <mergeCell ref="AI46:AI50"/>
    <mergeCell ref="AI51:AI55"/>
    <mergeCell ref="AI56:AI60"/>
  </mergeCells>
  <hyperlinks>
    <hyperlink ref="C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opLeftCell="A7" workbookViewId="0">
      <selection activeCell="B1" sqref="B1:C1"/>
    </sheetView>
  </sheetViews>
  <sheetFormatPr baseColWidth="10" defaultRowHeight="15" x14ac:dyDescent="0.25"/>
  <cols>
    <col min="1" max="1" width="33.7109375" customWidth="1"/>
    <col min="3" max="3" width="10" bestFit="1" customWidth="1"/>
    <col min="4" max="7" width="6.7109375" hidden="1" customWidth="1"/>
    <col min="8" max="9" width="7.140625" hidden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4" max="24" width="9.140625" hidden="1" customWidth="1"/>
    <col min="25" max="25" width="5.5703125" hidden="1" customWidth="1"/>
    <col min="28" max="28" width="20.42578125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55" t="s">
        <v>92</v>
      </c>
    </row>
    <row r="3" spans="1:33" x14ac:dyDescent="0.25">
      <c r="A3" s="87" t="s">
        <v>139</v>
      </c>
      <c r="B3" s="87"/>
      <c r="C3" s="216"/>
      <c r="D3" s="216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60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60" t="s">
        <v>94</v>
      </c>
      <c r="X4" s="51" t="s">
        <v>81</v>
      </c>
      <c r="Y4" s="51" t="s">
        <v>82</v>
      </c>
      <c r="Z4" s="60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58" t="s">
        <v>4</v>
      </c>
      <c r="B5" s="10">
        <f>'CLE-EXPL'!B5+'MAN-EXPL'!B5+'MH-EXPL'!B5+'SAT-EXPL'!B5</f>
        <v>954.59700000000009</v>
      </c>
      <c r="C5" s="10">
        <f>'CLE-EXPL'!C5+'MAN-EXPL'!C5+'MH-EXPL'!C5+'SAT-EXPL'!C5</f>
        <v>1038.1099999999999</v>
      </c>
      <c r="D5" s="10">
        <f>'CLE-EXPL'!D5+'MAN-EXPL'!D5+'MH-EXPL'!D5+'SAT-EXPL'!D5</f>
        <v>716.39</v>
      </c>
      <c r="E5" s="10">
        <f>'CLE-EXPL'!E5+'MAN-EXPL'!E5+'MH-EXPL'!E5+'SAT-EXPL'!E5</f>
        <v>775.15</v>
      </c>
      <c r="F5" s="10">
        <f>'CLE-EXPL'!F5+'MAN-EXPL'!F5+'MH-EXPL'!F5+'SAT-EXPL'!F5</f>
        <v>898.83500000000004</v>
      </c>
      <c r="G5" s="10">
        <f>'CLE-EXPL'!G5+'MAN-EXPL'!G5+'MH-EXPL'!G5+'SAT-EXPL'!G5</f>
        <v>518.23</v>
      </c>
      <c r="H5" s="10">
        <f>'CLE-EXPL'!H5+'MAN-EXPL'!H5+'MH-EXPL'!H5+'SAT-EXPL'!H5</f>
        <v>486.8</v>
      </c>
      <c r="I5" s="10">
        <f>'CLE-EXPL'!I5+'MAN-EXPL'!I5+'MH-EXPL'!I5+'SAT-EXPL'!I5</f>
        <v>496.44</v>
      </c>
      <c r="J5" s="10">
        <f>SUM(D5:I5)</f>
        <v>3891.8450000000003</v>
      </c>
      <c r="K5" s="10">
        <f>'CLE-EXPL'!K5+'MAN-EXPL'!K5+'MH-EXPL'!K5+'SAT-EXPL'!K5</f>
        <v>463.09500000000003</v>
      </c>
      <c r="L5" s="10">
        <f>'CLE-EXPL'!L5+'MAN-EXPL'!L5+'MH-EXPL'!L5+'SAT-EXPL'!L5</f>
        <v>332.67999999999995</v>
      </c>
      <c r="M5" s="10">
        <f>'CLE-EXPL'!M5+'MAN-EXPL'!M5+'MH-EXPL'!M5+'SAT-EXPL'!M5</f>
        <v>527.64</v>
      </c>
      <c r="N5" s="10">
        <f>'CLE-EXPL'!N5+'MAN-EXPL'!N5+'MH-EXPL'!N5+'SAT-EXPL'!N5</f>
        <v>395.47</v>
      </c>
      <c r="O5" s="10">
        <f>'CLE-EXPL'!O5+'MAN-EXPL'!O5+'MH-EXPL'!O5+'SAT-EXPL'!O5</f>
        <v>365.16999999999996</v>
      </c>
      <c r="P5" s="10">
        <f>'CLE-EXPL'!P5+'MAN-EXPL'!P5+'MH-EXPL'!P5+'SAT-EXPL'!P5</f>
        <v>201.78000000000003</v>
      </c>
      <c r="Q5" s="10">
        <f>'CLE-EXPL'!Q5+'MAN-EXPL'!Q5+'MH-EXPL'!Q5+'SAT-EXPL'!Q5</f>
        <v>285.62</v>
      </c>
      <c r="R5" s="10">
        <f>'CLE-EXPL'!R5+'MAN-EXPL'!R5+'MH-EXPL'!R5+'SAT-EXPL'!R5</f>
        <v>537.70000000000005</v>
      </c>
      <c r="S5" s="10">
        <f>'CLE-EXPL'!S5+'MAN-EXPL'!S5+'MH-EXPL'!S5+'SAT-EXPL'!S5</f>
        <v>168.38</v>
      </c>
      <c r="T5" s="10">
        <f>'CLE-EXPL'!T5+'MAN-EXPL'!T5+'MH-EXPL'!T5+'SAT-EXPL'!T5</f>
        <v>179.55000000000013</v>
      </c>
      <c r="U5" s="10">
        <f>'CLE-EXPL'!U5+'MAN-EXPL'!U5+'MH-EXPL'!U5+'SAT-EXPL'!U5</f>
        <v>460.65</v>
      </c>
      <c r="V5" s="10">
        <f>'CLE-EXPL'!V5+'MAN-EXPL'!V5+'MH-EXPL'!V5+'SAT-EXPL'!V5</f>
        <v>389.08</v>
      </c>
      <c r="W5" s="10">
        <f>SUM(K5:V5)</f>
        <v>4306.8150000000005</v>
      </c>
      <c r="X5" s="10">
        <f>'CLE-EXPL'!X5+'MAN-EXPL'!X5+'MH-EXPL'!X5+'SAT-EXPL'!X5</f>
        <v>1924.38</v>
      </c>
      <c r="Y5" s="10">
        <f>'CLE-EXPL'!Y5+'MAN-EXPL'!Y5+'MH-EXPL'!Y5+'SAT-EXPL'!Y5</f>
        <v>2826.8900000000003</v>
      </c>
      <c r="Z5" s="10">
        <f>SUM(X5:Y5)</f>
        <v>4751.2700000000004</v>
      </c>
      <c r="AB5" s="58" t="s">
        <v>4</v>
      </c>
      <c r="AC5" s="19">
        <f>IFERROR(B5/SUM($B5+$C5+$J5+$W5+$Z5),"")</f>
        <v>6.3884105596622609E-2</v>
      </c>
      <c r="AD5" s="19">
        <f>IFERROR(C5/SUM($B5+$C5+$J5+$W5+$Z5),"")</f>
        <v>6.9473012025922862E-2</v>
      </c>
      <c r="AE5" s="19">
        <f>IFERROR(J5/SUM($B5+$C5+$J5+$W5+$Z5),"")</f>
        <v>0.26045235523020471</v>
      </c>
      <c r="AF5" s="19">
        <f>IFERROR(W5/SUM($B5+$C5+$J5+$W5+$Z5),"")</f>
        <v>0.28822322325035404</v>
      </c>
      <c r="AG5" s="19">
        <f>IFERROR(Z5/SUM($B5+$C5+$J5+$W5+$Z5),"")</f>
        <v>0.31796730389689587</v>
      </c>
    </row>
    <row r="6" spans="1:33" x14ac:dyDescent="0.25">
      <c r="A6" s="58" t="s">
        <v>43</v>
      </c>
      <c r="B6" s="10">
        <f>'CLE-EXPL'!B6+'MAN-EXPL'!B6+'MH-EXPL'!B6+'SAT-EXPL'!B6</f>
        <v>24.150000000000002</v>
      </c>
      <c r="C6" s="10">
        <f>'CLE-EXPL'!C6+'MAN-EXPL'!C6+'MH-EXPL'!C6+'SAT-EXPL'!C6</f>
        <v>8.1999999999999993</v>
      </c>
      <c r="D6" s="10">
        <f>'CLE-EXPL'!D6+'MAN-EXPL'!D6+'MH-EXPL'!D6+'SAT-EXPL'!D6</f>
        <v>11.48</v>
      </c>
      <c r="E6" s="10">
        <f>'CLE-EXPL'!E6+'MAN-EXPL'!E6+'MH-EXPL'!E6+'SAT-EXPL'!E6</f>
        <v>15.73</v>
      </c>
      <c r="F6" s="10">
        <f>'CLE-EXPL'!F6+'MAN-EXPL'!F6+'MH-EXPL'!F6+'SAT-EXPL'!F6</f>
        <v>0</v>
      </c>
      <c r="G6" s="10">
        <f>'CLE-EXPL'!G6+'MAN-EXPL'!G6+'MH-EXPL'!G6+'SAT-EXPL'!G6</f>
        <v>0</v>
      </c>
      <c r="H6" s="10">
        <f>'CLE-EXPL'!H6+'MAN-EXPL'!H6+'MH-EXPL'!H6+'SAT-EXPL'!H6</f>
        <v>0</v>
      </c>
      <c r="I6" s="10">
        <f>'CLE-EXPL'!I6+'MAN-EXPL'!I6+'MH-EXPL'!I6+'SAT-EXPL'!I6</f>
        <v>0</v>
      </c>
      <c r="J6" s="10">
        <f t="shared" ref="J6:J21" si="0">SUM(D6:I6)</f>
        <v>27.21</v>
      </c>
      <c r="K6" s="10">
        <f>'CLE-EXPL'!K6+'MAN-EXPL'!K6+'MH-EXPL'!K6+'SAT-EXPL'!K6</f>
        <v>0</v>
      </c>
      <c r="L6" s="10">
        <f>'CLE-EXPL'!L6+'MAN-EXPL'!L6+'MH-EXPL'!L6+'SAT-EXPL'!L6</f>
        <v>0</v>
      </c>
      <c r="M6" s="10">
        <f>'CLE-EXPL'!M6+'MAN-EXPL'!M6+'MH-EXPL'!M6+'SAT-EXPL'!M6</f>
        <v>0</v>
      </c>
      <c r="N6" s="10">
        <f>'CLE-EXPL'!N6+'MAN-EXPL'!N6+'MH-EXPL'!N6+'SAT-EXPL'!N6</f>
        <v>0</v>
      </c>
      <c r="O6" s="10">
        <f>'CLE-EXPL'!O6+'MAN-EXPL'!O6+'MH-EXPL'!O6+'SAT-EXPL'!O6</f>
        <v>0</v>
      </c>
      <c r="P6" s="10">
        <f>'CLE-EXPL'!P6+'MAN-EXPL'!P6+'MH-EXPL'!P6+'SAT-EXPL'!P6</f>
        <v>0</v>
      </c>
      <c r="Q6" s="10">
        <f>'CLE-EXPL'!Q6+'MAN-EXPL'!Q6+'MH-EXPL'!Q6+'SAT-EXPL'!Q6</f>
        <v>0</v>
      </c>
      <c r="R6" s="10">
        <f>'CLE-EXPL'!R6+'MAN-EXPL'!R6+'MH-EXPL'!R6+'SAT-EXPL'!R6</f>
        <v>0</v>
      </c>
      <c r="S6" s="10">
        <f>'CLE-EXPL'!S6+'MAN-EXPL'!S6+'MH-EXPL'!S6+'SAT-EXPL'!S6</f>
        <v>0</v>
      </c>
      <c r="T6" s="10">
        <f>'CLE-EXPL'!T6+'MAN-EXPL'!T6+'MH-EXPL'!T6+'SAT-EXPL'!T6</f>
        <v>0</v>
      </c>
      <c r="U6" s="10">
        <f>'CLE-EXPL'!U6+'MAN-EXPL'!U6+'MH-EXPL'!U6+'SAT-EXPL'!U6</f>
        <v>0</v>
      </c>
      <c r="V6" s="10">
        <f>'CLE-EXPL'!V6+'MAN-EXPL'!V6+'MH-EXPL'!V6+'SAT-EXPL'!V6</f>
        <v>0</v>
      </c>
      <c r="W6" s="10">
        <f t="shared" ref="W6:W16" si="1">SUM(K6:V6)</f>
        <v>0</v>
      </c>
      <c r="X6" s="10">
        <f>'CLE-EXPL'!X6+'MAN-EXPL'!X6+'MH-EXPL'!X6+'SAT-EXPL'!X6</f>
        <v>0</v>
      </c>
      <c r="Y6" s="10">
        <f>'CLE-EXPL'!Y6+'MAN-EXPL'!Y6+'MH-EXPL'!Y6+'SAT-EXPL'!Y6</f>
        <v>0</v>
      </c>
      <c r="Z6" s="10">
        <f t="shared" ref="Z6:Z15" si="2">SUM(X6:Y6)</f>
        <v>0</v>
      </c>
      <c r="AB6" s="58" t="s">
        <v>43</v>
      </c>
      <c r="AC6" s="19">
        <f t="shared" ref="AC6:AD21" si="3">IFERROR(B6/SUM($B6+$C6+$J6+$W6+$Z6),"")</f>
        <v>0.40547347212894563</v>
      </c>
      <c r="AD6" s="19">
        <f t="shared" si="3"/>
        <v>0.13767629281396909</v>
      </c>
      <c r="AE6" s="19">
        <f t="shared" ref="AE6:AE21" si="4">IFERROR(J6/SUM($B6+$C6+$J6+$W6+$Z6),"")</f>
        <v>0.45685023505708527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33" x14ac:dyDescent="0.25">
      <c r="A7" s="58" t="s">
        <v>13</v>
      </c>
      <c r="B7" s="10">
        <f>'CLE-EXPL'!B7+'MAN-EXPL'!B7+'MH-EXPL'!B7+'SAT-EXPL'!B7</f>
        <v>0</v>
      </c>
      <c r="C7" s="10">
        <f>'CLE-EXPL'!C7+'MAN-EXPL'!C7+'MH-EXPL'!C7+'SAT-EXPL'!C7</f>
        <v>0</v>
      </c>
      <c r="D7" s="10">
        <f>'CLE-EXPL'!D7+'MAN-EXPL'!D7+'MH-EXPL'!D7+'SAT-EXPL'!D7</f>
        <v>0</v>
      </c>
      <c r="E7" s="10">
        <f>'CLE-EXPL'!E7+'MAN-EXPL'!E7+'MH-EXPL'!E7+'SAT-EXPL'!E7</f>
        <v>0</v>
      </c>
      <c r="F7" s="10">
        <f>'CLE-EXPL'!F7+'MAN-EXPL'!F7+'MH-EXPL'!F7+'SAT-EXPL'!F7</f>
        <v>0</v>
      </c>
      <c r="G7" s="10">
        <f>'CLE-EXPL'!G7+'MAN-EXPL'!G7+'MH-EXPL'!G7+'SAT-EXPL'!G7</f>
        <v>0</v>
      </c>
      <c r="H7" s="10">
        <f>'CLE-EXPL'!H7+'MAN-EXPL'!H7+'MH-EXPL'!H7+'SAT-EXPL'!H7</f>
        <v>0</v>
      </c>
      <c r="I7" s="10">
        <f>'CLE-EXPL'!I7+'MAN-EXPL'!I7+'MH-EXPL'!I7+'SAT-EXPL'!I7</f>
        <v>0</v>
      </c>
      <c r="J7" s="10">
        <f t="shared" si="0"/>
        <v>0</v>
      </c>
      <c r="K7" s="10">
        <f>'CLE-EXPL'!K7+'MAN-EXPL'!K7+'MH-EXPL'!K7+'SAT-EXPL'!K7</f>
        <v>0</v>
      </c>
      <c r="L7" s="10">
        <f>'CLE-EXPL'!L7+'MAN-EXPL'!L7+'MH-EXPL'!L7+'SAT-EXPL'!L7</f>
        <v>0</v>
      </c>
      <c r="M7" s="10">
        <f>'CLE-EXPL'!M7+'MAN-EXPL'!M7+'MH-EXPL'!M7+'SAT-EXPL'!M7</f>
        <v>0</v>
      </c>
      <c r="N7" s="10">
        <f>'CLE-EXPL'!N7+'MAN-EXPL'!N7+'MH-EXPL'!N7+'SAT-EXPL'!N7</f>
        <v>0</v>
      </c>
      <c r="O7" s="10">
        <f>'CLE-EXPL'!O7+'MAN-EXPL'!O7+'MH-EXPL'!O7+'SAT-EXPL'!O7</f>
        <v>0</v>
      </c>
      <c r="P7" s="10">
        <f>'CLE-EXPL'!P7+'MAN-EXPL'!P7+'MH-EXPL'!P7+'SAT-EXPL'!P7</f>
        <v>0</v>
      </c>
      <c r="Q7" s="10">
        <f>'CLE-EXPL'!Q7+'MAN-EXPL'!Q7+'MH-EXPL'!Q7+'SAT-EXPL'!Q7</f>
        <v>0</v>
      </c>
      <c r="R7" s="10">
        <f>'CLE-EXPL'!R7+'MAN-EXPL'!R7+'MH-EXPL'!R7+'SAT-EXPL'!R7</f>
        <v>0</v>
      </c>
      <c r="S7" s="10">
        <f>'CLE-EXPL'!S7+'MAN-EXPL'!S7+'MH-EXPL'!S7+'SAT-EXPL'!S7</f>
        <v>0</v>
      </c>
      <c r="T7" s="10">
        <f>'CLE-EXPL'!T7+'MAN-EXPL'!T7+'MH-EXPL'!T7+'SAT-EXPL'!T7</f>
        <v>0</v>
      </c>
      <c r="U7" s="10">
        <f>'CLE-EXPL'!U7+'MAN-EXPL'!U7+'MH-EXPL'!U7+'SAT-EXPL'!U7</f>
        <v>0</v>
      </c>
      <c r="V7" s="10">
        <f>'CLE-EXPL'!V7+'MAN-EXPL'!V7+'MH-EXPL'!V7+'SAT-EXPL'!V7</f>
        <v>0</v>
      </c>
      <c r="W7" s="10">
        <f t="shared" si="1"/>
        <v>0</v>
      </c>
      <c r="X7" s="10">
        <f>'CLE-EXPL'!X7+'MAN-EXPL'!X7+'MH-EXPL'!X7+'SAT-EXPL'!X7</f>
        <v>0</v>
      </c>
      <c r="Y7" s="10">
        <f>'CLE-EXPL'!Y7+'MAN-EXPL'!Y7+'MH-EXPL'!Y7+'SAT-EXPL'!Y7</f>
        <v>0</v>
      </c>
      <c r="Z7" s="10">
        <f t="shared" si="2"/>
        <v>0</v>
      </c>
      <c r="AB7" s="58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33" x14ac:dyDescent="0.25">
      <c r="A8" s="58" t="s">
        <v>14</v>
      </c>
      <c r="B8" s="10">
        <f>'CLE-EXPL'!B8+'MAN-EXPL'!B8+'MH-EXPL'!B8+'SAT-EXPL'!B8</f>
        <v>27646.475833333421</v>
      </c>
      <c r="C8" s="10">
        <f>'CLE-EXPL'!C8+'MAN-EXPL'!C8+'MH-EXPL'!C8+'SAT-EXPL'!C8</f>
        <v>7909.8183333333409</v>
      </c>
      <c r="D8" s="10">
        <f>'CLE-EXPL'!D8+'MAN-EXPL'!D8+'MH-EXPL'!D8+'SAT-EXPL'!D8</f>
        <v>3437.2799999999997</v>
      </c>
      <c r="E8" s="10">
        <f>'CLE-EXPL'!E8+'MAN-EXPL'!E8+'MH-EXPL'!E8+'SAT-EXPL'!E8</f>
        <v>2250.0499999999997</v>
      </c>
      <c r="F8" s="10">
        <f>'CLE-EXPL'!F8+'MAN-EXPL'!F8+'MH-EXPL'!F8+'SAT-EXPL'!F8</f>
        <v>1829.25</v>
      </c>
      <c r="G8" s="10">
        <f>'CLE-EXPL'!G8+'MAN-EXPL'!G8+'MH-EXPL'!G8+'SAT-EXPL'!G8</f>
        <v>1116.05</v>
      </c>
      <c r="H8" s="10">
        <f>'CLE-EXPL'!H8+'MAN-EXPL'!H8+'MH-EXPL'!H8+'SAT-EXPL'!H8</f>
        <v>1061.21</v>
      </c>
      <c r="I8" s="10">
        <f>'CLE-EXPL'!I8+'MAN-EXPL'!I8+'MH-EXPL'!I8+'SAT-EXPL'!I8</f>
        <v>717.08</v>
      </c>
      <c r="J8" s="10">
        <f t="shared" si="0"/>
        <v>10410.92</v>
      </c>
      <c r="K8" s="10">
        <f>'CLE-EXPL'!K8+'MAN-EXPL'!K8+'MH-EXPL'!K8+'SAT-EXPL'!K8</f>
        <v>582.84</v>
      </c>
      <c r="L8" s="10">
        <f>'CLE-EXPL'!L8+'MAN-EXPL'!L8+'MH-EXPL'!L8+'SAT-EXPL'!L8</f>
        <v>763.56000000000006</v>
      </c>
      <c r="M8" s="10">
        <f>'CLE-EXPL'!M8+'MAN-EXPL'!M8+'MH-EXPL'!M8+'SAT-EXPL'!M8</f>
        <v>158.66999999999999</v>
      </c>
      <c r="N8" s="10">
        <f>'CLE-EXPL'!N8+'MAN-EXPL'!N8+'MH-EXPL'!N8+'SAT-EXPL'!N8</f>
        <v>114.96000000000001</v>
      </c>
      <c r="O8" s="10">
        <f>'CLE-EXPL'!O8+'MAN-EXPL'!O8+'MH-EXPL'!O8+'SAT-EXPL'!O8</f>
        <v>313.33999999999997</v>
      </c>
      <c r="P8" s="10">
        <f>'CLE-EXPL'!P8+'MAN-EXPL'!P8+'MH-EXPL'!P8+'SAT-EXPL'!P8</f>
        <v>469.12</v>
      </c>
      <c r="Q8" s="10">
        <f>'CLE-EXPL'!Q8+'MAN-EXPL'!Q8+'MH-EXPL'!Q8+'SAT-EXPL'!Q8</f>
        <v>219.54</v>
      </c>
      <c r="R8" s="10">
        <f>'CLE-EXPL'!R8+'MAN-EXPL'!R8+'MH-EXPL'!R8+'SAT-EXPL'!R8</f>
        <v>154.07</v>
      </c>
      <c r="S8" s="10">
        <f>'CLE-EXPL'!S8+'MAN-EXPL'!S8+'MH-EXPL'!S8+'SAT-EXPL'!S8</f>
        <v>165.34</v>
      </c>
      <c r="T8" s="10">
        <f>'CLE-EXPL'!T8+'MAN-EXPL'!T8+'MH-EXPL'!T8+'SAT-EXPL'!T8</f>
        <v>171.37</v>
      </c>
      <c r="U8" s="10">
        <f>'CLE-EXPL'!U8+'MAN-EXPL'!U8+'MH-EXPL'!U8+'SAT-EXPL'!U8</f>
        <v>92.440000000000097</v>
      </c>
      <c r="V8" s="10">
        <f>'CLE-EXPL'!V8+'MAN-EXPL'!V8+'MH-EXPL'!V8+'SAT-EXPL'!V8</f>
        <v>99.95</v>
      </c>
      <c r="W8" s="10">
        <f t="shared" si="1"/>
        <v>3305.2000000000003</v>
      </c>
      <c r="X8" s="10">
        <f>'CLE-EXPL'!X8+'MAN-EXPL'!X8+'MH-EXPL'!X8+'SAT-EXPL'!X8</f>
        <v>727.46999999999991</v>
      </c>
      <c r="Y8" s="10">
        <f>'CLE-EXPL'!Y8+'MAN-EXPL'!Y8+'MH-EXPL'!Y8+'SAT-EXPL'!Y8</f>
        <v>926.19</v>
      </c>
      <c r="Z8" s="10">
        <f t="shared" si="2"/>
        <v>1653.6599999999999</v>
      </c>
      <c r="AB8" s="58" t="s">
        <v>14</v>
      </c>
      <c r="AC8" s="19">
        <f t="shared" si="3"/>
        <v>0.54287467246845411</v>
      </c>
      <c r="AD8" s="19">
        <f t="shared" si="3"/>
        <v>0.15531961696962393</v>
      </c>
      <c r="AE8" s="19">
        <f t="shared" si="4"/>
        <v>0.2044320158260772</v>
      </c>
      <c r="AF8" s="19">
        <f t="shared" si="5"/>
        <v>6.4901920167319549E-2</v>
      </c>
      <c r="AG8" s="19">
        <f t="shared" si="6"/>
        <v>3.2471774568525236E-2</v>
      </c>
    </row>
    <row r="9" spans="1:33" x14ac:dyDescent="0.25">
      <c r="A9" s="58" t="s">
        <v>36</v>
      </c>
      <c r="B9" s="10">
        <f>'CLE-EXPL'!B9+'MAN-EXPL'!B9+'MH-EXPL'!B9+'SAT-EXPL'!B9</f>
        <v>0</v>
      </c>
      <c r="C9" s="10">
        <f>'CLE-EXPL'!C9+'MAN-EXPL'!C9+'MH-EXPL'!C9+'SAT-EXPL'!C9</f>
        <v>0</v>
      </c>
      <c r="D9" s="10">
        <f>'CLE-EXPL'!D9+'MAN-EXPL'!D9+'MH-EXPL'!D9+'SAT-EXPL'!D9</f>
        <v>0</v>
      </c>
      <c r="E9" s="10">
        <f>'CLE-EXPL'!E9+'MAN-EXPL'!E9+'MH-EXPL'!E9+'SAT-EXPL'!E9</f>
        <v>0</v>
      </c>
      <c r="F9" s="10">
        <f>'CLE-EXPL'!F9+'MAN-EXPL'!F9+'MH-EXPL'!F9+'SAT-EXPL'!F9</f>
        <v>0</v>
      </c>
      <c r="G9" s="10">
        <f>'CLE-EXPL'!G9+'MAN-EXPL'!G9+'MH-EXPL'!G9+'SAT-EXPL'!G9</f>
        <v>0</v>
      </c>
      <c r="H9" s="10">
        <f>'CLE-EXPL'!H9+'MAN-EXPL'!H9+'MH-EXPL'!H9+'SAT-EXPL'!H9</f>
        <v>0</v>
      </c>
      <c r="I9" s="10">
        <f>'CLE-EXPL'!I9+'MAN-EXPL'!I9+'MH-EXPL'!I9+'SAT-EXPL'!I9</f>
        <v>0</v>
      </c>
      <c r="J9" s="10">
        <f t="shared" si="0"/>
        <v>0</v>
      </c>
      <c r="K9" s="10">
        <f>'CLE-EXPL'!K9+'MAN-EXPL'!K9+'MH-EXPL'!K9+'SAT-EXPL'!K9</f>
        <v>0</v>
      </c>
      <c r="L9" s="10">
        <f>'CLE-EXPL'!L9+'MAN-EXPL'!L9+'MH-EXPL'!L9+'SAT-EXPL'!L9</f>
        <v>0</v>
      </c>
      <c r="M9" s="10">
        <f>'CLE-EXPL'!M9+'MAN-EXPL'!M9+'MH-EXPL'!M9+'SAT-EXPL'!M9</f>
        <v>0</v>
      </c>
      <c r="N9" s="10">
        <f>'CLE-EXPL'!N9+'MAN-EXPL'!N9+'MH-EXPL'!N9+'SAT-EXPL'!N9</f>
        <v>0</v>
      </c>
      <c r="O9" s="10">
        <f>'CLE-EXPL'!O9+'MAN-EXPL'!O9+'MH-EXPL'!O9+'SAT-EXPL'!O9</f>
        <v>0</v>
      </c>
      <c r="P9" s="10">
        <f>'CLE-EXPL'!P9+'MAN-EXPL'!P9+'MH-EXPL'!P9+'SAT-EXPL'!P9</f>
        <v>0</v>
      </c>
      <c r="Q9" s="10">
        <f>'CLE-EXPL'!Q9+'MAN-EXPL'!Q9+'MH-EXPL'!Q9+'SAT-EXPL'!Q9</f>
        <v>0</v>
      </c>
      <c r="R9" s="10">
        <f>'CLE-EXPL'!R9+'MAN-EXPL'!R9+'MH-EXPL'!R9+'SAT-EXPL'!R9</f>
        <v>0</v>
      </c>
      <c r="S9" s="10">
        <f>'CLE-EXPL'!S9+'MAN-EXPL'!S9+'MH-EXPL'!S9+'SAT-EXPL'!S9</f>
        <v>0</v>
      </c>
      <c r="T9" s="10">
        <f>'CLE-EXPL'!T9+'MAN-EXPL'!T9+'MH-EXPL'!T9+'SAT-EXPL'!T9</f>
        <v>0</v>
      </c>
      <c r="U9" s="10">
        <f>'CLE-EXPL'!U9+'MAN-EXPL'!U9+'MH-EXPL'!U9+'SAT-EXPL'!U9</f>
        <v>0</v>
      </c>
      <c r="V9" s="10">
        <f>'CLE-EXPL'!V9+'MAN-EXPL'!V9+'MH-EXPL'!V9+'SAT-EXPL'!V9</f>
        <v>0</v>
      </c>
      <c r="W9" s="10">
        <f t="shared" si="1"/>
        <v>0</v>
      </c>
      <c r="X9" s="10">
        <f>'CLE-EXPL'!X9+'MAN-EXPL'!X9+'MH-EXPL'!X9+'SAT-EXPL'!X9</f>
        <v>0</v>
      </c>
      <c r="Y9" s="10">
        <f>'CLE-EXPL'!Y9+'MAN-EXPL'!Y9+'MH-EXPL'!Y9+'SAT-EXPL'!Y9</f>
        <v>0</v>
      </c>
      <c r="Z9" s="10">
        <f t="shared" si="2"/>
        <v>0</v>
      </c>
      <c r="AB9" s="58" t="s">
        <v>36</v>
      </c>
      <c r="AC9" s="19" t="str">
        <f t="shared" si="3"/>
        <v/>
      </c>
      <c r="AD9" s="19" t="str">
        <f t="shared" si="3"/>
        <v/>
      </c>
      <c r="AE9" s="19" t="str">
        <f t="shared" si="4"/>
        <v/>
      </c>
      <c r="AF9" s="19" t="str">
        <f t="shared" si="5"/>
        <v/>
      </c>
      <c r="AG9" s="19" t="str">
        <f t="shared" si="6"/>
        <v/>
      </c>
    </row>
    <row r="10" spans="1:33" x14ac:dyDescent="0.25">
      <c r="A10" s="58" t="s">
        <v>39</v>
      </c>
      <c r="B10" s="10">
        <f>'CLE-EXPL'!B10+'MAN-EXPL'!B10+'MH-EXPL'!B10+'SAT-EXPL'!B10</f>
        <v>33.65</v>
      </c>
      <c r="C10" s="10">
        <f>'CLE-EXPL'!C10+'MAN-EXPL'!C10+'MH-EXPL'!C10+'SAT-EXPL'!C10</f>
        <v>36.870000000000005</v>
      </c>
      <c r="D10" s="10">
        <f>'CLE-EXPL'!D10+'MAN-EXPL'!D10+'MH-EXPL'!D10+'SAT-EXPL'!D10</f>
        <v>14.02</v>
      </c>
      <c r="E10" s="10">
        <f>'CLE-EXPL'!E10+'MAN-EXPL'!E10+'MH-EXPL'!E10+'SAT-EXPL'!E10</f>
        <v>0</v>
      </c>
      <c r="F10" s="10">
        <f>'CLE-EXPL'!F10+'MAN-EXPL'!F10+'MH-EXPL'!F10+'SAT-EXPL'!F10</f>
        <v>45.480000000000004</v>
      </c>
      <c r="G10" s="10">
        <f>'CLE-EXPL'!G10+'MAN-EXPL'!G10+'MH-EXPL'!G10+'SAT-EXPL'!G10</f>
        <v>86.09</v>
      </c>
      <c r="H10" s="10">
        <f>'CLE-EXPL'!H10+'MAN-EXPL'!H10+'MH-EXPL'!H10+'SAT-EXPL'!H10</f>
        <v>0</v>
      </c>
      <c r="I10" s="10">
        <f>'CLE-EXPL'!I10+'MAN-EXPL'!I10+'MH-EXPL'!I10+'SAT-EXPL'!I10</f>
        <v>0</v>
      </c>
      <c r="J10" s="10">
        <f t="shared" si="0"/>
        <v>145.59</v>
      </c>
      <c r="K10" s="10">
        <f>'CLE-EXPL'!K10+'MAN-EXPL'!K10+'MH-EXPL'!K10+'SAT-EXPL'!K10</f>
        <v>41.91</v>
      </c>
      <c r="L10" s="10">
        <f>'CLE-EXPL'!L10+'MAN-EXPL'!L10+'MH-EXPL'!L10+'SAT-EXPL'!L10</f>
        <v>0</v>
      </c>
      <c r="M10" s="10">
        <f>'CLE-EXPL'!M10+'MAN-EXPL'!M10+'MH-EXPL'!M10+'SAT-EXPL'!M10</f>
        <v>0</v>
      </c>
      <c r="N10" s="10">
        <f>'CLE-EXPL'!N10+'MAN-EXPL'!N10+'MH-EXPL'!N10+'SAT-EXPL'!N10</f>
        <v>0</v>
      </c>
      <c r="O10" s="10">
        <f>'CLE-EXPL'!O10+'MAN-EXPL'!O10+'MH-EXPL'!O10+'SAT-EXPL'!O10</f>
        <v>0</v>
      </c>
      <c r="P10" s="10">
        <f>'CLE-EXPL'!P10+'MAN-EXPL'!P10+'MH-EXPL'!P10+'SAT-EXPL'!P10</f>
        <v>68.64</v>
      </c>
      <c r="Q10" s="10">
        <f>'CLE-EXPL'!Q10+'MAN-EXPL'!Q10+'MH-EXPL'!Q10+'SAT-EXPL'!Q10</f>
        <v>0</v>
      </c>
      <c r="R10" s="10">
        <f>'CLE-EXPL'!R10+'MAN-EXPL'!R10+'MH-EXPL'!R10+'SAT-EXPL'!R10</f>
        <v>0</v>
      </c>
      <c r="S10" s="10">
        <f>'CLE-EXPL'!S10+'MAN-EXPL'!S10+'MH-EXPL'!S10+'SAT-EXPL'!S10</f>
        <v>0</v>
      </c>
      <c r="T10" s="10">
        <f>'CLE-EXPL'!T10+'MAN-EXPL'!T10+'MH-EXPL'!T10+'SAT-EXPL'!T10</f>
        <v>0</v>
      </c>
      <c r="U10" s="10">
        <f>'CLE-EXPL'!U10+'MAN-EXPL'!U10+'MH-EXPL'!U10+'SAT-EXPL'!U10</f>
        <v>0</v>
      </c>
      <c r="V10" s="10">
        <f>'CLE-EXPL'!V10+'MAN-EXPL'!V10+'MH-EXPL'!V10+'SAT-EXPL'!V10</f>
        <v>0</v>
      </c>
      <c r="W10" s="10">
        <f t="shared" si="1"/>
        <v>110.55</v>
      </c>
      <c r="X10" s="10">
        <f>'CLE-EXPL'!X10+'MAN-EXPL'!X10+'MH-EXPL'!X10+'SAT-EXPL'!X10</f>
        <v>0</v>
      </c>
      <c r="Y10" s="10">
        <f>'CLE-EXPL'!Y10+'MAN-EXPL'!Y10+'MH-EXPL'!Y10+'SAT-EXPL'!Y10</f>
        <v>0</v>
      </c>
      <c r="Z10" s="10">
        <f t="shared" si="2"/>
        <v>0</v>
      </c>
      <c r="AB10" s="58" t="s">
        <v>39</v>
      </c>
      <c r="AC10" s="19">
        <f t="shared" si="3"/>
        <v>0.10301230637359945</v>
      </c>
      <c r="AD10" s="19">
        <f t="shared" si="3"/>
        <v>0.1128696504010286</v>
      </c>
      <c r="AE10" s="19">
        <f t="shared" si="4"/>
        <v>0.44569276924018852</v>
      </c>
      <c r="AF10" s="19">
        <f t="shared" si="5"/>
        <v>0.33842527398518335</v>
      </c>
      <c r="AG10" s="19">
        <f t="shared" si="6"/>
        <v>0</v>
      </c>
    </row>
    <row r="11" spans="1:33" x14ac:dyDescent="0.25">
      <c r="A11" s="58" t="s">
        <v>18</v>
      </c>
      <c r="B11" s="10">
        <f>'CLE-EXPL'!B11+'MAN-EXPL'!B11+'MH-EXPL'!B11+'SAT-EXPL'!B11</f>
        <v>0</v>
      </c>
      <c r="C11" s="10">
        <f>'CLE-EXPL'!C11+'MAN-EXPL'!C11+'MH-EXPL'!C11+'SAT-EXPL'!C11</f>
        <v>0</v>
      </c>
      <c r="D11" s="10">
        <f>'CLE-EXPL'!D11+'MAN-EXPL'!D11+'MH-EXPL'!D11+'SAT-EXPL'!D11</f>
        <v>0</v>
      </c>
      <c r="E11" s="10">
        <f>'CLE-EXPL'!E11+'MAN-EXPL'!E11+'MH-EXPL'!E11+'SAT-EXPL'!E11</f>
        <v>0</v>
      </c>
      <c r="F11" s="10">
        <f>'CLE-EXPL'!F11+'MAN-EXPL'!F11+'MH-EXPL'!F11+'SAT-EXPL'!F11</f>
        <v>0</v>
      </c>
      <c r="G11" s="10">
        <f>'CLE-EXPL'!G11+'MAN-EXPL'!G11+'MH-EXPL'!G11+'SAT-EXPL'!G11</f>
        <v>0</v>
      </c>
      <c r="H11" s="10">
        <f>'CLE-EXPL'!H11+'MAN-EXPL'!H11+'MH-EXPL'!H11+'SAT-EXPL'!H11</f>
        <v>0</v>
      </c>
      <c r="I11" s="10">
        <f>'CLE-EXPL'!I11+'MAN-EXPL'!I11+'MH-EXPL'!I11+'SAT-EXPL'!I11</f>
        <v>0</v>
      </c>
      <c r="J11" s="10">
        <f t="shared" si="0"/>
        <v>0</v>
      </c>
      <c r="K11" s="10">
        <f>'CLE-EXPL'!K11+'MAN-EXPL'!K11+'MH-EXPL'!K11+'SAT-EXPL'!K11</f>
        <v>0</v>
      </c>
      <c r="L11" s="10">
        <f>'CLE-EXPL'!L11+'MAN-EXPL'!L11+'MH-EXPL'!L11+'SAT-EXPL'!L11</f>
        <v>0</v>
      </c>
      <c r="M11" s="10">
        <f>'CLE-EXPL'!M11+'MAN-EXPL'!M11+'MH-EXPL'!M11+'SAT-EXPL'!M11</f>
        <v>0</v>
      </c>
      <c r="N11" s="10">
        <f>'CLE-EXPL'!N11+'MAN-EXPL'!N11+'MH-EXPL'!N11+'SAT-EXPL'!N11</f>
        <v>0</v>
      </c>
      <c r="O11" s="10">
        <f>'CLE-EXPL'!O11+'MAN-EXPL'!O11+'MH-EXPL'!O11+'SAT-EXPL'!O11</f>
        <v>0</v>
      </c>
      <c r="P11" s="10">
        <f>'CLE-EXPL'!P11+'MAN-EXPL'!P11+'MH-EXPL'!P11+'SAT-EXPL'!P11</f>
        <v>0</v>
      </c>
      <c r="Q11" s="10">
        <f>'CLE-EXPL'!Q11+'MAN-EXPL'!Q11+'MH-EXPL'!Q11+'SAT-EXPL'!Q11</f>
        <v>0</v>
      </c>
      <c r="R11" s="10">
        <f>'CLE-EXPL'!R11+'MAN-EXPL'!R11+'MH-EXPL'!R11+'SAT-EXPL'!R11</f>
        <v>0</v>
      </c>
      <c r="S11" s="10">
        <f>'CLE-EXPL'!S11+'MAN-EXPL'!S11+'MH-EXPL'!S11+'SAT-EXPL'!S11</f>
        <v>0</v>
      </c>
      <c r="T11" s="10">
        <f>'CLE-EXPL'!T11+'MAN-EXPL'!T11+'MH-EXPL'!T11+'SAT-EXPL'!T11</f>
        <v>0</v>
      </c>
      <c r="U11" s="10">
        <f>'CLE-EXPL'!U11+'MAN-EXPL'!U11+'MH-EXPL'!U11+'SAT-EXPL'!U11</f>
        <v>0</v>
      </c>
      <c r="V11" s="10">
        <f>'CLE-EXPL'!V11+'MAN-EXPL'!V11+'MH-EXPL'!V11+'SAT-EXPL'!V11</f>
        <v>0</v>
      </c>
      <c r="W11" s="10">
        <f t="shared" si="1"/>
        <v>0</v>
      </c>
      <c r="X11" s="10">
        <f>'CLE-EXPL'!X11+'MAN-EXPL'!X11+'MH-EXPL'!X11+'SAT-EXPL'!X11</f>
        <v>0</v>
      </c>
      <c r="Y11" s="10">
        <f>'CLE-EXPL'!Y11+'MAN-EXPL'!Y11+'MH-EXPL'!Y11+'SAT-EXPL'!Y11</f>
        <v>0</v>
      </c>
      <c r="Z11" s="10">
        <f t="shared" si="2"/>
        <v>0</v>
      </c>
      <c r="AB11" s="58" t="s">
        <v>18</v>
      </c>
      <c r="AC11" s="19" t="str">
        <f t="shared" si="3"/>
        <v/>
      </c>
      <c r="AD11" s="19" t="str">
        <f t="shared" si="3"/>
        <v/>
      </c>
      <c r="AE11" s="19" t="str">
        <f t="shared" si="4"/>
        <v/>
      </c>
      <c r="AF11" s="19" t="str">
        <f t="shared" si="5"/>
        <v/>
      </c>
      <c r="AG11" s="19" t="str">
        <f t="shared" si="6"/>
        <v/>
      </c>
    </row>
    <row r="12" spans="1:33" x14ac:dyDescent="0.25">
      <c r="A12" s="58" t="s">
        <v>19</v>
      </c>
      <c r="B12" s="10">
        <f>'CLE-EXPL'!B12+'MAN-EXPL'!B12+'MH-EXPL'!B12+'SAT-EXPL'!B12</f>
        <v>1637.8583333333302</v>
      </c>
      <c r="C12" s="10">
        <f>'CLE-EXPL'!C12+'MAN-EXPL'!C12+'MH-EXPL'!C12+'SAT-EXPL'!C12</f>
        <v>810.27</v>
      </c>
      <c r="D12" s="10">
        <f>'CLE-EXPL'!D12+'MAN-EXPL'!D12+'MH-EXPL'!D12+'SAT-EXPL'!D12</f>
        <v>476.58000000000004</v>
      </c>
      <c r="E12" s="10">
        <f>'CLE-EXPL'!E12+'MAN-EXPL'!E12+'MH-EXPL'!E12+'SAT-EXPL'!E12</f>
        <v>271.12</v>
      </c>
      <c r="F12" s="10">
        <f>'CLE-EXPL'!F12+'MAN-EXPL'!F12+'MH-EXPL'!F12+'SAT-EXPL'!F12</f>
        <v>279.92</v>
      </c>
      <c r="G12" s="10">
        <f>'CLE-EXPL'!G12+'MAN-EXPL'!G12+'MH-EXPL'!G12+'SAT-EXPL'!G12</f>
        <v>220.25</v>
      </c>
      <c r="H12" s="10">
        <f>'CLE-EXPL'!H12+'MAN-EXPL'!H12+'MH-EXPL'!H12+'SAT-EXPL'!H12</f>
        <v>135.09</v>
      </c>
      <c r="I12" s="10">
        <f>'CLE-EXPL'!I12+'MAN-EXPL'!I12+'MH-EXPL'!I12+'SAT-EXPL'!I12</f>
        <v>257.39999999999998</v>
      </c>
      <c r="J12" s="10">
        <f t="shared" si="0"/>
        <v>1640.3600000000001</v>
      </c>
      <c r="K12" s="10">
        <f>'CLE-EXPL'!K12+'MAN-EXPL'!K12+'MH-EXPL'!K12+'SAT-EXPL'!K12</f>
        <v>295.69</v>
      </c>
      <c r="L12" s="10">
        <f>'CLE-EXPL'!L12+'MAN-EXPL'!L12+'MH-EXPL'!L12+'SAT-EXPL'!L12</f>
        <v>142.63999999999999</v>
      </c>
      <c r="M12" s="10">
        <f>'CLE-EXPL'!M12+'MAN-EXPL'!M12+'MH-EXPL'!M12+'SAT-EXPL'!M12</f>
        <v>50.75</v>
      </c>
      <c r="N12" s="10">
        <f>'CLE-EXPL'!N12+'MAN-EXPL'!N12+'MH-EXPL'!N12+'SAT-EXPL'!N12</f>
        <v>115.96000000000001</v>
      </c>
      <c r="O12" s="10">
        <f>'CLE-EXPL'!O12+'MAN-EXPL'!O12+'MH-EXPL'!O12+'SAT-EXPL'!O12</f>
        <v>122.11</v>
      </c>
      <c r="P12" s="10">
        <f>'CLE-EXPL'!P12+'MAN-EXPL'!P12+'MH-EXPL'!P12+'SAT-EXPL'!P12</f>
        <v>67.8</v>
      </c>
      <c r="Q12" s="10">
        <f>'CLE-EXPL'!Q12+'MAN-EXPL'!Q12+'MH-EXPL'!Q12+'SAT-EXPL'!Q12</f>
        <v>73.38</v>
      </c>
      <c r="R12" s="10">
        <f>'CLE-EXPL'!R12+'MAN-EXPL'!R12+'MH-EXPL'!R12+'SAT-EXPL'!R12</f>
        <v>78.44</v>
      </c>
      <c r="S12" s="10">
        <f>'CLE-EXPL'!S12+'MAN-EXPL'!S12+'MH-EXPL'!S12+'SAT-EXPL'!S12</f>
        <v>0</v>
      </c>
      <c r="T12" s="10">
        <f>'CLE-EXPL'!T12+'MAN-EXPL'!T12+'MH-EXPL'!T12+'SAT-EXPL'!T12</f>
        <v>261.93</v>
      </c>
      <c r="U12" s="10">
        <f>'CLE-EXPL'!U12+'MAN-EXPL'!U12+'MH-EXPL'!U12+'SAT-EXPL'!U12</f>
        <v>0</v>
      </c>
      <c r="V12" s="10">
        <f>'CLE-EXPL'!V12+'MAN-EXPL'!V12+'MH-EXPL'!V12+'SAT-EXPL'!V12</f>
        <v>0</v>
      </c>
      <c r="W12" s="10">
        <f t="shared" si="1"/>
        <v>1208.7</v>
      </c>
      <c r="X12" s="10">
        <f>'CLE-EXPL'!X12+'MAN-EXPL'!X12+'MH-EXPL'!X12+'SAT-EXPL'!X12</f>
        <v>460.5</v>
      </c>
      <c r="Y12" s="10">
        <f>'CLE-EXPL'!Y12+'MAN-EXPL'!Y12+'MH-EXPL'!Y12+'SAT-EXPL'!Y12</f>
        <v>180.4</v>
      </c>
      <c r="Z12" s="10">
        <f t="shared" si="2"/>
        <v>640.9</v>
      </c>
      <c r="AB12" s="58" t="s">
        <v>19</v>
      </c>
      <c r="AC12" s="19">
        <f t="shared" si="3"/>
        <v>0.2758224939395475</v>
      </c>
      <c r="AD12" s="19">
        <f t="shared" si="3"/>
        <v>0.13645300549868328</v>
      </c>
      <c r="AE12" s="19">
        <f t="shared" si="4"/>
        <v>0.27624378552805873</v>
      </c>
      <c r="AF12" s="19">
        <f t="shared" si="5"/>
        <v>0.20355035697515456</v>
      </c>
      <c r="AG12" s="19">
        <f t="shared" si="6"/>
        <v>0.10793035805855593</v>
      </c>
    </row>
    <row r="13" spans="1:33" x14ac:dyDescent="0.25">
      <c r="A13" s="58" t="s">
        <v>23</v>
      </c>
      <c r="B13" s="10">
        <f>'CLE-EXPL'!B13+'MAN-EXPL'!B13+'MH-EXPL'!B13+'SAT-EXPL'!B13</f>
        <v>2.5499999999999998</v>
      </c>
      <c r="C13" s="10">
        <f>'CLE-EXPL'!C13+'MAN-EXPL'!C13+'MH-EXPL'!C13+'SAT-EXPL'!C13</f>
        <v>6.1</v>
      </c>
      <c r="D13" s="10">
        <f>'CLE-EXPL'!D13+'MAN-EXPL'!D13+'MH-EXPL'!D13+'SAT-EXPL'!D13</f>
        <v>0</v>
      </c>
      <c r="E13" s="10">
        <f>'CLE-EXPL'!E13+'MAN-EXPL'!E13+'MH-EXPL'!E13+'SAT-EXPL'!E13</f>
        <v>0</v>
      </c>
      <c r="F13" s="10">
        <f>'CLE-EXPL'!F13+'MAN-EXPL'!F13+'MH-EXPL'!F13+'SAT-EXPL'!F13</f>
        <v>0</v>
      </c>
      <c r="G13" s="10">
        <f>'CLE-EXPL'!G13+'MAN-EXPL'!G13+'MH-EXPL'!G13+'SAT-EXPL'!G13</f>
        <v>0</v>
      </c>
      <c r="H13" s="10">
        <f>'CLE-EXPL'!H13+'MAN-EXPL'!H13+'MH-EXPL'!H13+'SAT-EXPL'!H13</f>
        <v>0</v>
      </c>
      <c r="I13" s="10">
        <f>'CLE-EXPL'!I13+'MAN-EXPL'!I13+'MH-EXPL'!I13+'SAT-EXPL'!I13</f>
        <v>0</v>
      </c>
      <c r="J13" s="10">
        <f t="shared" si="0"/>
        <v>0</v>
      </c>
      <c r="K13" s="10">
        <f>'CLE-EXPL'!K13+'MAN-EXPL'!K13+'MH-EXPL'!K13+'SAT-EXPL'!K13</f>
        <v>0</v>
      </c>
      <c r="L13" s="10">
        <f>'CLE-EXPL'!L13+'MAN-EXPL'!L13+'MH-EXPL'!L13+'SAT-EXPL'!L13</f>
        <v>0</v>
      </c>
      <c r="M13" s="10">
        <f>'CLE-EXPL'!M13+'MAN-EXPL'!M13+'MH-EXPL'!M13+'SAT-EXPL'!M13</f>
        <v>0</v>
      </c>
      <c r="N13" s="10">
        <f>'CLE-EXPL'!N13+'MAN-EXPL'!N13+'MH-EXPL'!N13+'SAT-EXPL'!N13</f>
        <v>0</v>
      </c>
      <c r="O13" s="10">
        <f>'CLE-EXPL'!O13+'MAN-EXPL'!O13+'MH-EXPL'!O13+'SAT-EXPL'!O13</f>
        <v>0</v>
      </c>
      <c r="P13" s="10">
        <f>'CLE-EXPL'!P13+'MAN-EXPL'!P13+'MH-EXPL'!P13+'SAT-EXPL'!P13</f>
        <v>0</v>
      </c>
      <c r="Q13" s="10">
        <f>'CLE-EXPL'!Q13+'MAN-EXPL'!Q13+'MH-EXPL'!Q13+'SAT-EXPL'!Q13</f>
        <v>0</v>
      </c>
      <c r="R13" s="10">
        <f>'CLE-EXPL'!R13+'MAN-EXPL'!R13+'MH-EXPL'!R13+'SAT-EXPL'!R13</f>
        <v>0</v>
      </c>
      <c r="S13" s="10">
        <f>'CLE-EXPL'!S13+'MAN-EXPL'!S13+'MH-EXPL'!S13+'SAT-EXPL'!S13</f>
        <v>0</v>
      </c>
      <c r="T13" s="10">
        <f>'CLE-EXPL'!T13+'MAN-EXPL'!T13+'MH-EXPL'!T13+'SAT-EXPL'!T13</f>
        <v>0</v>
      </c>
      <c r="U13" s="10">
        <f>'CLE-EXPL'!U13+'MAN-EXPL'!U13+'MH-EXPL'!U13+'SAT-EXPL'!U13</f>
        <v>0</v>
      </c>
      <c r="V13" s="10">
        <f>'CLE-EXPL'!V13+'MAN-EXPL'!V13+'MH-EXPL'!V13+'SAT-EXPL'!V13</f>
        <v>0</v>
      </c>
      <c r="W13" s="10">
        <f t="shared" si="1"/>
        <v>0</v>
      </c>
      <c r="X13" s="10">
        <f>'CLE-EXPL'!X13+'MAN-EXPL'!X13+'MH-EXPL'!X13+'SAT-EXPL'!X13</f>
        <v>0</v>
      </c>
      <c r="Y13" s="10">
        <f>'CLE-EXPL'!Y13+'MAN-EXPL'!Y13+'MH-EXPL'!Y13+'SAT-EXPL'!Y13</f>
        <v>0</v>
      </c>
      <c r="Z13" s="10">
        <f t="shared" si="2"/>
        <v>0</v>
      </c>
      <c r="AB13" s="58" t="s">
        <v>23</v>
      </c>
      <c r="AC13" s="19">
        <f t="shared" si="3"/>
        <v>0.2947976878612717</v>
      </c>
      <c r="AD13" s="19">
        <f t="shared" si="3"/>
        <v>0.70520231213872842</v>
      </c>
      <c r="AE13" s="19">
        <f t="shared" si="4"/>
        <v>0</v>
      </c>
      <c r="AF13" s="19">
        <f t="shared" si="5"/>
        <v>0</v>
      </c>
      <c r="AG13" s="19">
        <f t="shared" si="6"/>
        <v>0</v>
      </c>
    </row>
    <row r="14" spans="1:33" x14ac:dyDescent="0.25">
      <c r="A14" s="58" t="s">
        <v>26</v>
      </c>
      <c r="B14" s="10">
        <f>'CLE-EXPL'!B14+'MAN-EXPL'!B14+'MH-EXPL'!B14+'SAT-EXPL'!B14</f>
        <v>0</v>
      </c>
      <c r="C14" s="10">
        <f>'CLE-EXPL'!C14+'MAN-EXPL'!C14+'MH-EXPL'!C14+'SAT-EXPL'!C14</f>
        <v>0</v>
      </c>
      <c r="D14" s="10">
        <f>'CLE-EXPL'!D14+'MAN-EXPL'!D14+'MH-EXPL'!D14+'SAT-EXPL'!D14</f>
        <v>0</v>
      </c>
      <c r="E14" s="10">
        <f>'CLE-EXPL'!E14+'MAN-EXPL'!E14+'MH-EXPL'!E14+'SAT-EXPL'!E14</f>
        <v>0</v>
      </c>
      <c r="F14" s="10">
        <f>'CLE-EXPL'!F14+'MAN-EXPL'!F14+'MH-EXPL'!F14+'SAT-EXPL'!F14</f>
        <v>0</v>
      </c>
      <c r="G14" s="10">
        <f>'CLE-EXPL'!G14+'MAN-EXPL'!G14+'MH-EXPL'!G14+'SAT-EXPL'!G14</f>
        <v>0</v>
      </c>
      <c r="H14" s="10">
        <f>'CLE-EXPL'!H14+'MAN-EXPL'!H14+'MH-EXPL'!H14+'SAT-EXPL'!H14</f>
        <v>0</v>
      </c>
      <c r="I14" s="10">
        <f>'CLE-EXPL'!I14+'MAN-EXPL'!I14+'MH-EXPL'!I14+'SAT-EXPL'!I14</f>
        <v>0</v>
      </c>
      <c r="J14" s="10">
        <f t="shared" si="0"/>
        <v>0</v>
      </c>
      <c r="K14" s="10">
        <f>'CLE-EXPL'!K14+'MAN-EXPL'!K14+'MH-EXPL'!K14+'SAT-EXPL'!K14</f>
        <v>0</v>
      </c>
      <c r="L14" s="10">
        <f>'CLE-EXPL'!L14+'MAN-EXPL'!L14+'MH-EXPL'!L14+'SAT-EXPL'!L14</f>
        <v>0</v>
      </c>
      <c r="M14" s="10">
        <f>'CLE-EXPL'!M14+'MAN-EXPL'!M14+'MH-EXPL'!M14+'SAT-EXPL'!M14</f>
        <v>0</v>
      </c>
      <c r="N14" s="10">
        <f>'CLE-EXPL'!N14+'MAN-EXPL'!N14+'MH-EXPL'!N14+'SAT-EXPL'!N14</f>
        <v>0</v>
      </c>
      <c r="O14" s="10">
        <f>'CLE-EXPL'!O14+'MAN-EXPL'!O14+'MH-EXPL'!O14+'SAT-EXPL'!O14</f>
        <v>0</v>
      </c>
      <c r="P14" s="10">
        <f>'CLE-EXPL'!P14+'MAN-EXPL'!P14+'MH-EXPL'!P14+'SAT-EXPL'!P14</f>
        <v>0</v>
      </c>
      <c r="Q14" s="10">
        <f>'CLE-EXPL'!Q14+'MAN-EXPL'!Q14+'MH-EXPL'!Q14+'SAT-EXPL'!Q14</f>
        <v>0</v>
      </c>
      <c r="R14" s="10">
        <f>'CLE-EXPL'!R14+'MAN-EXPL'!R14+'MH-EXPL'!R14+'SAT-EXPL'!R14</f>
        <v>0</v>
      </c>
      <c r="S14" s="10">
        <f>'CLE-EXPL'!S14+'MAN-EXPL'!S14+'MH-EXPL'!S14+'SAT-EXPL'!S14</f>
        <v>0</v>
      </c>
      <c r="T14" s="10">
        <f>'CLE-EXPL'!T14+'MAN-EXPL'!T14+'MH-EXPL'!T14+'SAT-EXPL'!T14</f>
        <v>0</v>
      </c>
      <c r="U14" s="10">
        <f>'CLE-EXPL'!U14+'MAN-EXPL'!U14+'MH-EXPL'!U14+'SAT-EXPL'!U14</f>
        <v>0</v>
      </c>
      <c r="V14" s="10">
        <f>'CLE-EXPL'!V14+'MAN-EXPL'!V14+'MH-EXPL'!V14+'SAT-EXPL'!V14</f>
        <v>0</v>
      </c>
      <c r="W14" s="10">
        <f t="shared" si="1"/>
        <v>0</v>
      </c>
      <c r="X14" s="10">
        <f>'CLE-EXPL'!X14+'MAN-EXPL'!X14+'MH-EXPL'!X14+'SAT-EXPL'!X14</f>
        <v>0</v>
      </c>
      <c r="Y14" s="10">
        <f>'CLE-EXPL'!Y14+'MAN-EXPL'!Y14+'MH-EXPL'!Y14+'SAT-EXPL'!Y14</f>
        <v>0</v>
      </c>
      <c r="Z14" s="10">
        <f t="shared" si="2"/>
        <v>0</v>
      </c>
      <c r="AB14" s="58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33" x14ac:dyDescent="0.25">
      <c r="A15" s="58" t="s">
        <v>160</v>
      </c>
      <c r="B15" s="10">
        <f>'CLE-EXPL'!B15+'MAN-EXPL'!B15+'MH-EXPL'!B15+'SAT-EXPL'!B15</f>
        <v>19.705000000000002</v>
      </c>
      <c r="C15" s="10">
        <f>'CLE-EXPL'!C15+'MAN-EXPL'!C15+'MH-EXPL'!C15+'SAT-EXPL'!C15</f>
        <v>13.6</v>
      </c>
      <c r="D15" s="10">
        <f>'CLE-EXPL'!D15+'MAN-EXPL'!D15+'MH-EXPL'!D15+'SAT-EXPL'!D15</f>
        <v>0</v>
      </c>
      <c r="E15" s="10">
        <f>'CLE-EXPL'!E15+'MAN-EXPL'!E15+'MH-EXPL'!E15+'SAT-EXPL'!E15</f>
        <v>0</v>
      </c>
      <c r="F15" s="10">
        <f>'CLE-EXPL'!F15+'MAN-EXPL'!F15+'MH-EXPL'!F15+'SAT-EXPL'!F15</f>
        <v>0</v>
      </c>
      <c r="G15" s="10">
        <f>'CLE-EXPL'!G15+'MAN-EXPL'!G15+'MH-EXPL'!G15+'SAT-EXPL'!G15</f>
        <v>0</v>
      </c>
      <c r="H15" s="10">
        <f>'CLE-EXPL'!H15+'MAN-EXPL'!H15+'MH-EXPL'!H15+'SAT-EXPL'!H15</f>
        <v>0</v>
      </c>
      <c r="I15" s="10">
        <f>'CLE-EXPL'!I15+'MAN-EXPL'!I15+'MH-EXPL'!I15+'SAT-EXPL'!I15</f>
        <v>0</v>
      </c>
      <c r="J15" s="10">
        <f t="shared" si="0"/>
        <v>0</v>
      </c>
      <c r="K15" s="10">
        <f>'CLE-EXPL'!K15+'MAN-EXPL'!K15+'MH-EXPL'!K15+'SAT-EXPL'!K15</f>
        <v>0</v>
      </c>
      <c r="L15" s="10">
        <f>'CLE-EXPL'!L15+'MAN-EXPL'!L15+'MH-EXPL'!L15+'SAT-EXPL'!L15</f>
        <v>0</v>
      </c>
      <c r="M15" s="10">
        <f>'CLE-EXPL'!M15+'MAN-EXPL'!M15+'MH-EXPL'!M15+'SAT-EXPL'!M15</f>
        <v>0</v>
      </c>
      <c r="N15" s="10">
        <f>'CLE-EXPL'!N15+'MAN-EXPL'!N15+'MH-EXPL'!N15+'SAT-EXPL'!N15</f>
        <v>0</v>
      </c>
      <c r="O15" s="10">
        <f>'CLE-EXPL'!O15+'MAN-EXPL'!O15+'MH-EXPL'!O15+'SAT-EXPL'!O15</f>
        <v>0</v>
      </c>
      <c r="P15" s="10">
        <f>'CLE-EXPL'!P15+'MAN-EXPL'!P15+'MH-EXPL'!P15+'SAT-EXPL'!P15</f>
        <v>0</v>
      </c>
      <c r="Q15" s="10">
        <f>'CLE-EXPL'!Q15+'MAN-EXPL'!Q15+'MH-EXPL'!Q15+'SAT-EXPL'!Q15</f>
        <v>0</v>
      </c>
      <c r="R15" s="10">
        <f>'CLE-EXPL'!R15+'MAN-EXPL'!R15+'MH-EXPL'!R15+'SAT-EXPL'!R15</f>
        <v>0</v>
      </c>
      <c r="S15" s="10">
        <f>'CLE-EXPL'!S15+'MAN-EXPL'!S15+'MH-EXPL'!S15+'SAT-EXPL'!S15</f>
        <v>0</v>
      </c>
      <c r="T15" s="10">
        <f>'CLE-EXPL'!T15+'MAN-EXPL'!T15+'MH-EXPL'!T15+'SAT-EXPL'!T15</f>
        <v>0</v>
      </c>
      <c r="U15" s="10">
        <f>'CLE-EXPL'!U15+'MAN-EXPL'!U15+'MH-EXPL'!U15+'SAT-EXPL'!U15</f>
        <v>0</v>
      </c>
      <c r="V15" s="10">
        <f>'CLE-EXPL'!V15+'MAN-EXPL'!V15+'MH-EXPL'!V15+'SAT-EXPL'!V15</f>
        <v>0</v>
      </c>
      <c r="W15" s="10">
        <f t="shared" si="1"/>
        <v>0</v>
      </c>
      <c r="X15" s="10">
        <f>'CLE-EXPL'!X15+'MAN-EXPL'!X15+'MH-EXPL'!X15+'SAT-EXPL'!X15</f>
        <v>0</v>
      </c>
      <c r="Y15" s="10">
        <f>'CLE-EXPL'!Y15+'MAN-EXPL'!Y15+'MH-EXPL'!Y15+'SAT-EXPL'!Y15</f>
        <v>0</v>
      </c>
      <c r="Z15" s="10">
        <f t="shared" si="2"/>
        <v>0</v>
      </c>
      <c r="AB15" s="58" t="s">
        <v>160</v>
      </c>
      <c r="AC15" s="19">
        <f t="shared" si="3"/>
        <v>0.59165290496922385</v>
      </c>
      <c r="AD15" s="19">
        <f t="shared" si="3"/>
        <v>0.40834709503077615</v>
      </c>
      <c r="AE15" s="19">
        <f t="shared" si="4"/>
        <v>0</v>
      </c>
      <c r="AF15" s="19">
        <f t="shared" si="5"/>
        <v>0</v>
      </c>
      <c r="AG15" s="19">
        <f t="shared" si="6"/>
        <v>0</v>
      </c>
    </row>
    <row r="16" spans="1:33" x14ac:dyDescent="0.25">
      <c r="A16" s="58" t="s">
        <v>161</v>
      </c>
      <c r="B16" s="10">
        <f>'CLE-EXPL'!B16+'MAN-EXPL'!B16+'MH-EXPL'!B16+'SAT-EXPL'!B16</f>
        <v>0</v>
      </c>
      <c r="C16" s="10">
        <f>'CLE-EXPL'!C16+'MAN-EXPL'!C16+'MH-EXPL'!C16+'SAT-EXPL'!C16</f>
        <v>0</v>
      </c>
      <c r="D16" s="10">
        <f>'CLE-EXPL'!D16+'MAN-EXPL'!D16+'MH-EXPL'!D16+'SAT-EXPL'!D16</f>
        <v>0</v>
      </c>
      <c r="E16" s="10">
        <f>'CLE-EXPL'!E16+'MAN-EXPL'!E16+'MH-EXPL'!E16+'SAT-EXPL'!E16</f>
        <v>0</v>
      </c>
      <c r="F16" s="10">
        <f>'CLE-EXPL'!F16+'MAN-EXPL'!F16+'MH-EXPL'!F16+'SAT-EXPL'!F16</f>
        <v>0</v>
      </c>
      <c r="G16" s="10">
        <f>'CLE-EXPL'!G16+'MAN-EXPL'!G16+'MH-EXPL'!G16+'SAT-EXPL'!G16</f>
        <v>0</v>
      </c>
      <c r="H16" s="10">
        <f>'CLE-EXPL'!H16+'MAN-EXPL'!H16+'MH-EXPL'!H16+'SAT-EXPL'!H16</f>
        <v>0</v>
      </c>
      <c r="I16" s="10">
        <f>'CLE-EXPL'!I16+'MAN-EXPL'!I16+'MH-EXPL'!I16+'SAT-EXPL'!I16</f>
        <v>0</v>
      </c>
      <c r="J16" s="10">
        <f t="shared" si="0"/>
        <v>0</v>
      </c>
      <c r="K16" s="10">
        <f>'CLE-EXPL'!K16+'MAN-EXPL'!K16+'MH-EXPL'!K16+'SAT-EXPL'!K16</f>
        <v>0</v>
      </c>
      <c r="L16" s="10">
        <f>'CLE-EXPL'!L16+'MAN-EXPL'!L16+'MH-EXPL'!L16+'SAT-EXPL'!L16</f>
        <v>0</v>
      </c>
      <c r="M16" s="10">
        <f>'CLE-EXPL'!M16+'MAN-EXPL'!M16+'MH-EXPL'!M16+'SAT-EXPL'!M16</f>
        <v>0</v>
      </c>
      <c r="N16" s="10">
        <f>'CLE-EXPL'!N16+'MAN-EXPL'!N16+'MH-EXPL'!N16+'SAT-EXPL'!N16</f>
        <v>0</v>
      </c>
      <c r="O16" s="10">
        <f>'CLE-EXPL'!O16+'MAN-EXPL'!O16+'MH-EXPL'!O16+'SAT-EXPL'!O16</f>
        <v>0</v>
      </c>
      <c r="P16" s="10">
        <f>'CLE-EXPL'!P16+'MAN-EXPL'!P16+'MH-EXPL'!P16+'SAT-EXPL'!P16</f>
        <v>0</v>
      </c>
      <c r="Q16" s="10">
        <f>'CLE-EXPL'!Q16+'MAN-EXPL'!Q16+'MH-EXPL'!Q16+'SAT-EXPL'!Q16</f>
        <v>0</v>
      </c>
      <c r="R16" s="10">
        <f>'CLE-EXPL'!R16+'MAN-EXPL'!R16+'MH-EXPL'!R16+'SAT-EXPL'!R16</f>
        <v>0</v>
      </c>
      <c r="S16" s="10">
        <f>'CLE-EXPL'!S16+'MAN-EXPL'!S16+'MH-EXPL'!S16+'SAT-EXPL'!S16</f>
        <v>0</v>
      </c>
      <c r="T16" s="10">
        <f>'CLE-EXPL'!T16+'MAN-EXPL'!T16+'MH-EXPL'!T16+'SAT-EXPL'!T16</f>
        <v>0</v>
      </c>
      <c r="U16" s="10">
        <f>'CLE-EXPL'!U16+'MAN-EXPL'!U16+'MH-EXPL'!U16+'SAT-EXPL'!U16</f>
        <v>0</v>
      </c>
      <c r="V16" s="10">
        <f>'CLE-EXPL'!V16+'MAN-EXPL'!V16+'MH-EXPL'!V16+'SAT-EXPL'!V16</f>
        <v>0</v>
      </c>
      <c r="W16" s="10">
        <f t="shared" si="1"/>
        <v>0</v>
      </c>
      <c r="X16" s="10">
        <f>'CLE-EXPL'!X16+'MAN-EXPL'!X16+'MH-EXPL'!X16+'SAT-EXPL'!X16</f>
        <v>0</v>
      </c>
      <c r="Y16" s="10">
        <f>'CLE-EXPL'!Y16+'MAN-EXPL'!Y16+'MH-EXPL'!Y16+'SAT-EXPL'!Y16</f>
        <v>0</v>
      </c>
      <c r="Z16" s="10">
        <f t="shared" ref="Z16:Z21" si="7">SUM(X16:Y16)</f>
        <v>0</v>
      </c>
      <c r="AB16" s="58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58" t="s">
        <v>89</v>
      </c>
      <c r="B17" s="10">
        <f>'CLE-EXPL'!B17+'MAN-EXPL'!B17+'MH-EXPL'!B17+'SAT-EXPL'!B17</f>
        <v>0</v>
      </c>
      <c r="C17" s="10">
        <f>'CLE-EXPL'!C17+'MAN-EXPL'!C17+'MH-EXPL'!C17+'SAT-EXPL'!C17</f>
        <v>0</v>
      </c>
      <c r="D17" s="10">
        <f>'CLE-EXPL'!D17+'MAN-EXPL'!D17+'MH-EXPL'!D17+'SAT-EXPL'!D17</f>
        <v>0</v>
      </c>
      <c r="E17" s="10">
        <f>'CLE-EXPL'!E17+'MAN-EXPL'!E17+'MH-EXPL'!E17+'SAT-EXPL'!E17</f>
        <v>0</v>
      </c>
      <c r="F17" s="10">
        <f>'CLE-EXPL'!F17+'MAN-EXPL'!F17+'MH-EXPL'!F17+'SAT-EXPL'!F17</f>
        <v>0</v>
      </c>
      <c r="G17" s="10">
        <f>'CLE-EXPL'!G17+'MAN-EXPL'!G17+'MH-EXPL'!G17+'SAT-EXPL'!G17</f>
        <v>0</v>
      </c>
      <c r="H17" s="10">
        <f>'CLE-EXPL'!H17+'MAN-EXPL'!H17+'MH-EXPL'!H17+'SAT-EXPL'!H17</f>
        <v>0</v>
      </c>
      <c r="I17" s="10">
        <f>'CLE-EXPL'!I17+'MAN-EXPL'!I17+'MH-EXPL'!I17+'SAT-EXPL'!I17</f>
        <v>0</v>
      </c>
      <c r="J17" s="10">
        <f t="shared" si="0"/>
        <v>0</v>
      </c>
      <c r="K17" s="10">
        <f>'CLE-EXPL'!K17+'MAN-EXPL'!K17+'MH-EXPL'!K17+'SAT-EXPL'!K17</f>
        <v>0</v>
      </c>
      <c r="L17" s="10">
        <f>'CLE-EXPL'!L17+'MAN-EXPL'!L17+'MH-EXPL'!L17+'SAT-EXPL'!L17</f>
        <v>0</v>
      </c>
      <c r="M17" s="10">
        <f>'CLE-EXPL'!M17+'MAN-EXPL'!M17+'MH-EXPL'!M17+'SAT-EXPL'!M17</f>
        <v>0</v>
      </c>
      <c r="N17" s="10">
        <f>'CLE-EXPL'!N17+'MAN-EXPL'!N17+'MH-EXPL'!N17+'SAT-EXPL'!N17</f>
        <v>0</v>
      </c>
      <c r="O17" s="10">
        <f>'CLE-EXPL'!O17+'MAN-EXPL'!O17+'MH-EXPL'!O17+'SAT-EXPL'!O17</f>
        <v>0</v>
      </c>
      <c r="P17" s="10">
        <f>'CLE-EXPL'!P17+'MAN-EXPL'!P17+'MH-EXPL'!P17+'SAT-EXPL'!P17</f>
        <v>0</v>
      </c>
      <c r="Q17" s="10">
        <f>'CLE-EXPL'!Q17+'MAN-EXPL'!Q17+'MH-EXPL'!Q17+'SAT-EXPL'!Q17</f>
        <v>0</v>
      </c>
      <c r="R17" s="10">
        <f>'CLE-EXPL'!R17+'MAN-EXPL'!R17+'MH-EXPL'!R17+'SAT-EXPL'!R17</f>
        <v>0</v>
      </c>
      <c r="S17" s="10">
        <f>'CLE-EXPL'!S17+'MAN-EXPL'!S17+'MH-EXPL'!S17+'SAT-EXPL'!S17</f>
        <v>0</v>
      </c>
      <c r="T17" s="10">
        <f>'CLE-EXPL'!T17+'MAN-EXPL'!T17+'MH-EXPL'!T17+'SAT-EXPL'!T17</f>
        <v>89.95</v>
      </c>
      <c r="U17" s="10">
        <f>'CLE-EXPL'!U17+'MAN-EXPL'!U17+'MH-EXPL'!U17+'SAT-EXPL'!U17</f>
        <v>0</v>
      </c>
      <c r="V17" s="10">
        <f>'CLE-EXPL'!V17+'MAN-EXPL'!V17+'MH-EXPL'!V17+'SAT-EXPL'!V17</f>
        <v>0</v>
      </c>
      <c r="W17" s="10">
        <f t="shared" ref="W17:W21" si="8">SUM(K17:V17)</f>
        <v>89.95</v>
      </c>
      <c r="X17" s="10">
        <f>'CLE-EXPL'!X17+'MAN-EXPL'!X17+'MH-EXPL'!X17+'SAT-EXPL'!X17</f>
        <v>0</v>
      </c>
      <c r="Y17" s="10">
        <f>'CLE-EXPL'!Y17+'MAN-EXPL'!Y17+'MH-EXPL'!Y17+'SAT-EXPL'!Y17</f>
        <v>0</v>
      </c>
      <c r="Z17" s="10">
        <f t="shared" si="7"/>
        <v>0</v>
      </c>
      <c r="AB17" s="58" t="s">
        <v>89</v>
      </c>
      <c r="AC17" s="19">
        <f t="shared" si="3"/>
        <v>0</v>
      </c>
      <c r="AD17" s="19">
        <f t="shared" si="3"/>
        <v>0</v>
      </c>
      <c r="AE17" s="19">
        <f t="shared" si="4"/>
        <v>0</v>
      </c>
      <c r="AF17" s="19">
        <f t="shared" si="5"/>
        <v>1</v>
      </c>
      <c r="AG17" s="19">
        <f t="shared" si="6"/>
        <v>0</v>
      </c>
    </row>
    <row r="18" spans="1:33" x14ac:dyDescent="0.25">
      <c r="A18" s="58" t="s">
        <v>32</v>
      </c>
      <c r="B18" s="10">
        <f>'CLE-EXPL'!B18+'MAN-EXPL'!B18+'MH-EXPL'!B18+'SAT-EXPL'!B18</f>
        <v>418.136666666667</v>
      </c>
      <c r="C18" s="10">
        <f>'CLE-EXPL'!C18+'MAN-EXPL'!C18+'MH-EXPL'!C18+'SAT-EXPL'!C18</f>
        <v>568.90499999999997</v>
      </c>
      <c r="D18" s="10">
        <f>'CLE-EXPL'!D18+'MAN-EXPL'!D18+'MH-EXPL'!D18+'SAT-EXPL'!D18</f>
        <v>475.73500000000001</v>
      </c>
      <c r="E18" s="10">
        <f>'CLE-EXPL'!E18+'MAN-EXPL'!E18+'MH-EXPL'!E18+'SAT-EXPL'!E18</f>
        <v>443.00000000000006</v>
      </c>
      <c r="F18" s="10">
        <f>'CLE-EXPL'!F18+'MAN-EXPL'!F18+'MH-EXPL'!F18+'SAT-EXPL'!F18</f>
        <v>419.79666666666697</v>
      </c>
      <c r="G18" s="10">
        <f>'CLE-EXPL'!G18+'MAN-EXPL'!G18+'MH-EXPL'!G18+'SAT-EXPL'!G18</f>
        <v>331.41</v>
      </c>
      <c r="H18" s="10">
        <f>'CLE-EXPL'!H18+'MAN-EXPL'!H18+'MH-EXPL'!H18+'SAT-EXPL'!H18</f>
        <v>195.08999999999997</v>
      </c>
      <c r="I18" s="10">
        <f>'CLE-EXPL'!I18+'MAN-EXPL'!I18+'MH-EXPL'!I18+'SAT-EXPL'!I18</f>
        <v>305.59000000000003</v>
      </c>
      <c r="J18" s="10">
        <f t="shared" si="0"/>
        <v>2170.6216666666674</v>
      </c>
      <c r="K18" s="10">
        <f>'CLE-EXPL'!K18+'MAN-EXPL'!K18+'MH-EXPL'!K18+'SAT-EXPL'!K18</f>
        <v>306.95</v>
      </c>
      <c r="L18" s="10">
        <f>'CLE-EXPL'!L18+'MAN-EXPL'!L18+'MH-EXPL'!L18+'SAT-EXPL'!L18</f>
        <v>46.56</v>
      </c>
      <c r="M18" s="10">
        <f>'CLE-EXPL'!M18+'MAN-EXPL'!M18+'MH-EXPL'!M18+'SAT-EXPL'!M18</f>
        <v>259.12</v>
      </c>
      <c r="N18" s="10">
        <f>'CLE-EXPL'!N18+'MAN-EXPL'!N18+'MH-EXPL'!N18+'SAT-EXPL'!N18</f>
        <v>115.91</v>
      </c>
      <c r="O18" s="10">
        <f>'CLE-EXPL'!O18+'MAN-EXPL'!O18+'MH-EXPL'!O18+'SAT-EXPL'!O18</f>
        <v>0</v>
      </c>
      <c r="P18" s="10">
        <f>'CLE-EXPL'!P18+'MAN-EXPL'!P18+'MH-EXPL'!P18+'SAT-EXPL'!P18</f>
        <v>134.5</v>
      </c>
      <c r="Q18" s="10">
        <f>'CLE-EXPL'!Q18+'MAN-EXPL'!Q18+'MH-EXPL'!Q18+'SAT-EXPL'!Q18</f>
        <v>145.97</v>
      </c>
      <c r="R18" s="10">
        <f>'CLE-EXPL'!R18+'MAN-EXPL'!R18+'MH-EXPL'!R18+'SAT-EXPL'!R18</f>
        <v>78.805000000000007</v>
      </c>
      <c r="S18" s="10">
        <f>'CLE-EXPL'!S18+'MAN-EXPL'!S18+'MH-EXPL'!S18+'SAT-EXPL'!S18</f>
        <v>325.14999999999998</v>
      </c>
      <c r="T18" s="10">
        <f>'CLE-EXPL'!T18+'MAN-EXPL'!T18+'MH-EXPL'!T18+'SAT-EXPL'!T18</f>
        <v>0</v>
      </c>
      <c r="U18" s="10">
        <f>'CLE-EXPL'!U18+'MAN-EXPL'!U18+'MH-EXPL'!U18+'SAT-EXPL'!U18</f>
        <v>280.57</v>
      </c>
      <c r="V18" s="10">
        <f>'CLE-EXPL'!V18+'MAN-EXPL'!V18+'MH-EXPL'!V18+'SAT-EXPL'!V18</f>
        <v>0</v>
      </c>
      <c r="W18" s="10">
        <f t="shared" si="8"/>
        <v>1693.5350000000001</v>
      </c>
      <c r="X18" s="10">
        <f>'CLE-EXPL'!X18+'MAN-EXPL'!X18+'MH-EXPL'!X18+'SAT-EXPL'!X18</f>
        <v>395.03</v>
      </c>
      <c r="Y18" s="10">
        <f>'CLE-EXPL'!Y18+'MAN-EXPL'!Y18+'MH-EXPL'!Y18+'SAT-EXPL'!Y18</f>
        <v>283.23</v>
      </c>
      <c r="Z18" s="10">
        <f t="shared" si="7"/>
        <v>678.26</v>
      </c>
      <c r="AB18" s="58" t="s">
        <v>32</v>
      </c>
      <c r="AC18" s="19">
        <f t="shared" si="3"/>
        <v>7.5619824123821691E-2</v>
      </c>
      <c r="AD18" s="19">
        <f t="shared" si="3"/>
        <v>0.102886207961901</v>
      </c>
      <c r="AE18" s="19">
        <f t="shared" si="4"/>
        <v>0.3925559314881657</v>
      </c>
      <c r="AF18" s="19">
        <f t="shared" si="5"/>
        <v>0.30627502693904612</v>
      </c>
      <c r="AG18" s="19">
        <f t="shared" si="6"/>
        <v>0.12266300948706546</v>
      </c>
    </row>
    <row r="19" spans="1:33" x14ac:dyDescent="0.25">
      <c r="A19" s="58" t="s">
        <v>90</v>
      </c>
      <c r="B19" s="10">
        <f>'CLE-EXPL'!B19+'MAN-EXPL'!B19+'MH-EXPL'!B19+'SAT-EXPL'!B19</f>
        <v>2.67</v>
      </c>
      <c r="C19" s="10">
        <f>'CLE-EXPL'!C19+'MAN-EXPL'!C19+'MH-EXPL'!C19+'SAT-EXPL'!C19</f>
        <v>0</v>
      </c>
      <c r="D19" s="10">
        <f>'CLE-EXPL'!D19+'MAN-EXPL'!D19+'MH-EXPL'!D19+'SAT-EXPL'!D19</f>
        <v>0</v>
      </c>
      <c r="E19" s="10">
        <f>'CLE-EXPL'!E19+'MAN-EXPL'!E19+'MH-EXPL'!E19+'SAT-EXPL'!E19</f>
        <v>0</v>
      </c>
      <c r="F19" s="10">
        <f>'CLE-EXPL'!F19+'MAN-EXPL'!F19+'MH-EXPL'!F19+'SAT-EXPL'!F19</f>
        <v>0</v>
      </c>
      <c r="G19" s="10">
        <f>'CLE-EXPL'!G19+'MAN-EXPL'!G19+'MH-EXPL'!G19+'SAT-EXPL'!G19</f>
        <v>0</v>
      </c>
      <c r="H19" s="10">
        <f>'CLE-EXPL'!H19+'MAN-EXPL'!H19+'MH-EXPL'!H19+'SAT-EXPL'!H19</f>
        <v>0</v>
      </c>
      <c r="I19" s="10">
        <f>'CLE-EXPL'!I19+'MAN-EXPL'!I19+'MH-EXPL'!I19+'SAT-EXPL'!I19</f>
        <v>0</v>
      </c>
      <c r="J19" s="10">
        <f t="shared" si="0"/>
        <v>0</v>
      </c>
      <c r="K19" s="10">
        <f>'CLE-EXPL'!K19+'MAN-EXPL'!K19+'MH-EXPL'!K19+'SAT-EXPL'!K19</f>
        <v>0</v>
      </c>
      <c r="L19" s="10">
        <f>'CLE-EXPL'!L19+'MAN-EXPL'!L19+'MH-EXPL'!L19+'SAT-EXPL'!L19</f>
        <v>0</v>
      </c>
      <c r="M19" s="10">
        <f>'CLE-EXPL'!M19+'MAN-EXPL'!M19+'MH-EXPL'!M19+'SAT-EXPL'!M19</f>
        <v>0</v>
      </c>
      <c r="N19" s="10">
        <f>'CLE-EXPL'!N19+'MAN-EXPL'!N19+'MH-EXPL'!N19+'SAT-EXPL'!N19</f>
        <v>0</v>
      </c>
      <c r="O19" s="10">
        <f>'CLE-EXPL'!O19+'MAN-EXPL'!O19+'MH-EXPL'!O19+'SAT-EXPL'!O19</f>
        <v>0</v>
      </c>
      <c r="P19" s="10">
        <f>'CLE-EXPL'!P19+'MAN-EXPL'!P19+'MH-EXPL'!P19+'SAT-EXPL'!P19</f>
        <v>0</v>
      </c>
      <c r="Q19" s="10">
        <f>'CLE-EXPL'!Q19+'MAN-EXPL'!Q19+'MH-EXPL'!Q19+'SAT-EXPL'!Q19</f>
        <v>0</v>
      </c>
      <c r="R19" s="10">
        <f>'CLE-EXPL'!R19+'MAN-EXPL'!R19+'MH-EXPL'!R19+'SAT-EXPL'!R19</f>
        <v>0</v>
      </c>
      <c r="S19" s="10">
        <f>'CLE-EXPL'!S19+'MAN-EXPL'!S19+'MH-EXPL'!S19+'SAT-EXPL'!S19</f>
        <v>0</v>
      </c>
      <c r="T19" s="10">
        <f>'CLE-EXPL'!T19+'MAN-EXPL'!T19+'MH-EXPL'!T19+'SAT-EXPL'!T19</f>
        <v>0</v>
      </c>
      <c r="U19" s="10">
        <f>'CLE-EXPL'!U19+'MAN-EXPL'!U19+'MH-EXPL'!U19+'SAT-EXPL'!U19</f>
        <v>0</v>
      </c>
      <c r="V19" s="10">
        <f>'CLE-EXPL'!V19+'MAN-EXPL'!V19+'MH-EXPL'!V19+'SAT-EXPL'!V19</f>
        <v>0</v>
      </c>
      <c r="W19" s="10">
        <f t="shared" si="8"/>
        <v>0</v>
      </c>
      <c r="X19" s="10">
        <f>'CLE-EXPL'!X19+'MAN-EXPL'!X19+'MH-EXPL'!X19+'SAT-EXPL'!X19</f>
        <v>0</v>
      </c>
      <c r="Y19" s="10">
        <f>'CLE-EXPL'!Y19+'MAN-EXPL'!Y19+'MH-EXPL'!Y19+'SAT-EXPL'!Y19</f>
        <v>0</v>
      </c>
      <c r="Z19" s="10">
        <f t="shared" si="7"/>
        <v>0</v>
      </c>
      <c r="AB19" s="58" t="s">
        <v>90</v>
      </c>
      <c r="AC19" s="19">
        <f t="shared" si="3"/>
        <v>1</v>
      </c>
      <c r="AD19" s="19">
        <f t="shared" si="3"/>
        <v>0</v>
      </c>
      <c r="AE19" s="19">
        <f t="shared" si="4"/>
        <v>0</v>
      </c>
      <c r="AF19" s="19">
        <f t="shared" si="5"/>
        <v>0</v>
      </c>
      <c r="AG19" s="19">
        <f t="shared" si="6"/>
        <v>0</v>
      </c>
    </row>
    <row r="20" spans="1:33" x14ac:dyDescent="0.25">
      <c r="A20" s="58" t="s">
        <v>91</v>
      </c>
      <c r="B20" s="10">
        <f>'CLE-EXPL'!B20+'MAN-EXPL'!B20+'MH-EXPL'!B20+'SAT-EXPL'!B20</f>
        <v>0</v>
      </c>
      <c r="C20" s="10">
        <f>'CLE-EXPL'!C20+'MAN-EXPL'!C20+'MH-EXPL'!C20+'SAT-EXPL'!C20</f>
        <v>0</v>
      </c>
      <c r="D20" s="10">
        <f>'CLE-EXPL'!D20+'MAN-EXPL'!D20+'MH-EXPL'!D20+'SAT-EXPL'!D20</f>
        <v>0</v>
      </c>
      <c r="E20" s="10">
        <f>'CLE-EXPL'!E20+'MAN-EXPL'!E20+'MH-EXPL'!E20+'SAT-EXPL'!E20</f>
        <v>0</v>
      </c>
      <c r="F20" s="10">
        <f>'CLE-EXPL'!F20+'MAN-EXPL'!F20+'MH-EXPL'!F20+'SAT-EXPL'!F20</f>
        <v>0</v>
      </c>
      <c r="G20" s="10">
        <f>'CLE-EXPL'!G20+'MAN-EXPL'!G20+'MH-EXPL'!G20+'SAT-EXPL'!G20</f>
        <v>0</v>
      </c>
      <c r="H20" s="10">
        <f>'CLE-EXPL'!H20+'MAN-EXPL'!H20+'MH-EXPL'!H20+'SAT-EXPL'!H20</f>
        <v>0</v>
      </c>
      <c r="I20" s="10">
        <f>'CLE-EXPL'!I20+'MAN-EXPL'!I20+'MH-EXPL'!I20+'SAT-EXPL'!I20</f>
        <v>0</v>
      </c>
      <c r="J20" s="10">
        <f t="shared" si="0"/>
        <v>0</v>
      </c>
      <c r="K20" s="10">
        <f>'CLE-EXPL'!K20+'MAN-EXPL'!K20+'MH-EXPL'!K20+'SAT-EXPL'!K20</f>
        <v>0</v>
      </c>
      <c r="L20" s="10">
        <f>'CLE-EXPL'!L20+'MAN-EXPL'!L20+'MH-EXPL'!L20+'SAT-EXPL'!L20</f>
        <v>0</v>
      </c>
      <c r="M20" s="10">
        <f>'CLE-EXPL'!M20+'MAN-EXPL'!M20+'MH-EXPL'!M20+'SAT-EXPL'!M20</f>
        <v>0</v>
      </c>
      <c r="N20" s="10">
        <f>'CLE-EXPL'!N20+'MAN-EXPL'!N20+'MH-EXPL'!N20+'SAT-EXPL'!N20</f>
        <v>0</v>
      </c>
      <c r="O20" s="10">
        <f>'CLE-EXPL'!O20+'MAN-EXPL'!O20+'MH-EXPL'!O20+'SAT-EXPL'!O20</f>
        <v>0</v>
      </c>
      <c r="P20" s="10">
        <f>'CLE-EXPL'!P20+'MAN-EXPL'!P20+'MH-EXPL'!P20+'SAT-EXPL'!P20</f>
        <v>0</v>
      </c>
      <c r="Q20" s="10">
        <f>'CLE-EXPL'!Q20+'MAN-EXPL'!Q20+'MH-EXPL'!Q20+'SAT-EXPL'!Q20</f>
        <v>0</v>
      </c>
      <c r="R20" s="10">
        <f>'CLE-EXPL'!R20+'MAN-EXPL'!R20+'MH-EXPL'!R20+'SAT-EXPL'!R20</f>
        <v>0</v>
      </c>
      <c r="S20" s="10">
        <f>'CLE-EXPL'!S20+'MAN-EXPL'!S20+'MH-EXPL'!S20+'SAT-EXPL'!S20</f>
        <v>0</v>
      </c>
      <c r="T20" s="10">
        <f>'CLE-EXPL'!T20+'MAN-EXPL'!T20+'MH-EXPL'!T20+'SAT-EXPL'!T20</f>
        <v>0</v>
      </c>
      <c r="U20" s="10">
        <f>'CLE-EXPL'!U20+'MAN-EXPL'!U20+'MH-EXPL'!U20+'SAT-EXPL'!U20</f>
        <v>0</v>
      </c>
      <c r="V20" s="10">
        <f>'CLE-EXPL'!V20+'MAN-EXPL'!V20+'MH-EXPL'!V20+'SAT-EXPL'!V20</f>
        <v>0</v>
      </c>
      <c r="W20" s="10">
        <f t="shared" si="8"/>
        <v>0</v>
      </c>
      <c r="X20" s="10">
        <f>'CLE-EXPL'!X20+'MAN-EXPL'!X20+'MH-EXPL'!X20+'SAT-EXPL'!X20</f>
        <v>0</v>
      </c>
      <c r="Y20" s="10">
        <f>'CLE-EXPL'!Y20+'MAN-EXPL'!Y20+'MH-EXPL'!Y20+'SAT-EXPL'!Y20</f>
        <v>0</v>
      </c>
      <c r="Z20" s="10">
        <f t="shared" si="7"/>
        <v>0</v>
      </c>
      <c r="AB20" s="58" t="s">
        <v>91</v>
      </c>
      <c r="AC20" s="19" t="str">
        <f t="shared" si="3"/>
        <v/>
      </c>
      <c r="AD20" s="19" t="str">
        <f t="shared" si="3"/>
        <v/>
      </c>
      <c r="AE20" s="19" t="str">
        <f t="shared" si="4"/>
        <v/>
      </c>
      <c r="AF20" s="19" t="str">
        <f t="shared" si="5"/>
        <v/>
      </c>
      <c r="AG20" s="19" t="str">
        <f t="shared" si="6"/>
        <v/>
      </c>
    </row>
    <row r="21" spans="1:33" x14ac:dyDescent="0.25">
      <c r="A21" s="52" t="s">
        <v>33</v>
      </c>
      <c r="B21" s="53">
        <f>'CLE-EXPL'!B21+'MAN-EXPL'!B21+'MH-EXPL'!B21+'SAT-EXPL'!B21</f>
        <v>30739.79283333338</v>
      </c>
      <c r="C21" s="53">
        <f>'CLE-EXPL'!C21+'MAN-EXPL'!C21+'MH-EXPL'!C21+'SAT-EXPL'!C21</f>
        <v>10391.873333333329</v>
      </c>
      <c r="D21" s="53">
        <f>'CLE-EXPL'!D21+'MAN-EXPL'!D21+'MH-EXPL'!D21+'SAT-EXPL'!D21</f>
        <v>5131.4849999999997</v>
      </c>
      <c r="E21" s="53">
        <f>'CLE-EXPL'!E21+'MAN-EXPL'!E21+'MH-EXPL'!E21+'SAT-EXPL'!E21</f>
        <v>3755.0499999999997</v>
      </c>
      <c r="F21" s="53">
        <f>'CLE-EXPL'!F21+'MAN-EXPL'!F21+'MH-EXPL'!F21+'SAT-EXPL'!F21</f>
        <v>3473.2816666666672</v>
      </c>
      <c r="G21" s="53">
        <f>'CLE-EXPL'!G21+'MAN-EXPL'!G21+'MH-EXPL'!G21+'SAT-EXPL'!G21</f>
        <v>2272.0299999999997</v>
      </c>
      <c r="H21" s="53">
        <f>'CLE-EXPL'!H21+'MAN-EXPL'!H21+'MH-EXPL'!H21+'SAT-EXPL'!H21</f>
        <v>1878.19</v>
      </c>
      <c r="I21" s="53">
        <f>'CLE-EXPL'!I21+'MAN-EXPL'!I21+'MH-EXPL'!I21+'SAT-EXPL'!I21</f>
        <v>1776.51</v>
      </c>
      <c r="J21" s="61">
        <f t="shared" si="0"/>
        <v>18286.546666666665</v>
      </c>
      <c r="K21" s="53">
        <f>'CLE-EXPL'!K21+'MAN-EXPL'!K21+'MH-EXPL'!K21+'SAT-EXPL'!K21</f>
        <v>1690.4849999999999</v>
      </c>
      <c r="L21" s="53">
        <f>'CLE-EXPL'!L21+'MAN-EXPL'!L21+'MH-EXPL'!L21+'SAT-EXPL'!L21</f>
        <v>1285.4399999999998</v>
      </c>
      <c r="M21" s="53">
        <f>'CLE-EXPL'!M21+'MAN-EXPL'!M21+'MH-EXPL'!M21+'SAT-EXPL'!M21</f>
        <v>996.18000000000006</v>
      </c>
      <c r="N21" s="53">
        <f>'CLE-EXPL'!N21+'MAN-EXPL'!N21+'MH-EXPL'!N21+'SAT-EXPL'!N21</f>
        <v>742.30000000000007</v>
      </c>
      <c r="O21" s="53">
        <f>'CLE-EXPL'!O21+'MAN-EXPL'!O21+'MH-EXPL'!O21+'SAT-EXPL'!O21</f>
        <v>800.62</v>
      </c>
      <c r="P21" s="53">
        <f>'CLE-EXPL'!P21+'MAN-EXPL'!P21+'MH-EXPL'!P21+'SAT-EXPL'!P21</f>
        <v>941.84</v>
      </c>
      <c r="Q21" s="53">
        <f>'CLE-EXPL'!Q21+'MAN-EXPL'!Q21+'MH-EXPL'!Q21+'SAT-EXPL'!Q21</f>
        <v>724.51</v>
      </c>
      <c r="R21" s="53">
        <f>'CLE-EXPL'!R21+'MAN-EXPL'!R21+'MH-EXPL'!R21+'SAT-EXPL'!R21</f>
        <v>849.01499999999999</v>
      </c>
      <c r="S21" s="53">
        <f>'CLE-EXPL'!S21+'MAN-EXPL'!S21+'MH-EXPL'!S21+'SAT-EXPL'!S21</f>
        <v>658.87</v>
      </c>
      <c r="T21" s="53">
        <f>'CLE-EXPL'!T21+'MAN-EXPL'!T21+'MH-EXPL'!T21+'SAT-EXPL'!T21</f>
        <v>702.8</v>
      </c>
      <c r="U21" s="53">
        <f>'CLE-EXPL'!U21+'MAN-EXPL'!U21+'MH-EXPL'!U21+'SAT-EXPL'!U21</f>
        <v>833.66000000000008</v>
      </c>
      <c r="V21" s="53">
        <f>'CLE-EXPL'!V21+'MAN-EXPL'!V21+'MH-EXPL'!V21+'SAT-EXPL'!V21</f>
        <v>489.03</v>
      </c>
      <c r="W21" s="61">
        <f t="shared" si="8"/>
        <v>10714.75</v>
      </c>
      <c r="X21" s="53">
        <f>'CLE-EXPL'!X21+'MAN-EXPL'!X21+'MH-EXPL'!X21+'SAT-EXPL'!X21</f>
        <v>3507.38</v>
      </c>
      <c r="Y21" s="53">
        <f>'CLE-EXPL'!Y21+'MAN-EXPL'!Y21+'MH-EXPL'!Y21+'SAT-EXPL'!Y21</f>
        <v>4216.71</v>
      </c>
      <c r="Z21" s="61">
        <f t="shared" si="7"/>
        <v>7724.09</v>
      </c>
      <c r="AB21" s="52" t="s">
        <v>33</v>
      </c>
      <c r="AC21" s="65">
        <f t="shared" si="3"/>
        <v>0.39482348373932524</v>
      </c>
      <c r="AD21" s="65">
        <f t="shared" si="3"/>
        <v>0.13347375677806544</v>
      </c>
      <c r="AE21" s="134">
        <f t="shared" si="4"/>
        <v>0.23487334802939711</v>
      </c>
      <c r="AF21" s="134">
        <f t="shared" si="5"/>
        <v>0.1376208013285167</v>
      </c>
      <c r="AG21" s="134">
        <f t="shared" si="6"/>
        <v>9.9208610124695645E-2</v>
      </c>
    </row>
    <row r="24" spans="1:33" x14ac:dyDescent="0.25">
      <c r="A24" s="87" t="s">
        <v>140</v>
      </c>
      <c r="B24" s="87"/>
      <c r="AB24" s="216" t="s">
        <v>140</v>
      </c>
      <c r="AC24" s="216"/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60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60" t="s">
        <v>94</v>
      </c>
      <c r="X25" s="51" t="s">
        <v>81</v>
      </c>
      <c r="Y25" s="51" t="s">
        <v>82</v>
      </c>
      <c r="Z25" s="60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58" t="s">
        <v>4</v>
      </c>
      <c r="B26" s="10">
        <f>'CLE-EXPL'!B26+'MAN-EXPL'!B26+'MH-EXPL'!B26+'SAT-EXPL'!B26</f>
        <v>642</v>
      </c>
      <c r="C26" s="10">
        <f>'CLE-EXPL'!C26+'MAN-EXPL'!C26+'MH-EXPL'!C26+'SAT-EXPL'!C26</f>
        <v>144</v>
      </c>
      <c r="D26" s="10">
        <f>'CLE-EXPL'!D26+'MAN-EXPL'!D26+'MH-EXPL'!D26+'SAT-EXPL'!D26</f>
        <v>59</v>
      </c>
      <c r="E26" s="10">
        <f>'CLE-EXPL'!E26+'MAN-EXPL'!E26+'MH-EXPL'!E26+'SAT-EXPL'!E26</f>
        <v>45</v>
      </c>
      <c r="F26" s="10">
        <f>'CLE-EXPL'!F26+'MAN-EXPL'!F26+'MH-EXPL'!F26+'SAT-EXPL'!F26</f>
        <v>41</v>
      </c>
      <c r="G26" s="10">
        <f>'CLE-EXPL'!G26+'MAN-EXPL'!G26+'MH-EXPL'!G26+'SAT-EXPL'!G26</f>
        <v>19</v>
      </c>
      <c r="H26" s="10">
        <f>'CLE-EXPL'!H26+'MAN-EXPL'!H26+'MH-EXPL'!H26+'SAT-EXPL'!H26</f>
        <v>15</v>
      </c>
      <c r="I26" s="10">
        <f>'CLE-EXPL'!I26+'MAN-EXPL'!I26+'MH-EXPL'!I26+'SAT-EXPL'!I26</f>
        <v>13</v>
      </c>
      <c r="J26" s="10">
        <f>SUM(D26:I26)</f>
        <v>192</v>
      </c>
      <c r="K26" s="10">
        <f>'CLE-EXPL'!K26+'MAN-EXPL'!K26+'MH-EXPL'!K26+'SAT-EXPL'!K26</f>
        <v>11</v>
      </c>
      <c r="L26" s="10">
        <f>'CLE-EXPL'!L26+'MAN-EXPL'!L26+'MH-EXPL'!L26+'SAT-EXPL'!L26</f>
        <v>7</v>
      </c>
      <c r="M26" s="10">
        <f>'CLE-EXPL'!M26+'MAN-EXPL'!M26+'MH-EXPL'!M26+'SAT-EXPL'!M26</f>
        <v>10</v>
      </c>
      <c r="N26" s="10">
        <f>'CLE-EXPL'!N26+'MAN-EXPL'!N26+'MH-EXPL'!N26+'SAT-EXPL'!N26</f>
        <v>7</v>
      </c>
      <c r="O26" s="10">
        <f>'CLE-EXPL'!O26+'MAN-EXPL'!O26+'MH-EXPL'!O26+'SAT-EXPL'!O26</f>
        <v>6</v>
      </c>
      <c r="P26" s="10">
        <f>'CLE-EXPL'!P26+'MAN-EXPL'!P26+'MH-EXPL'!P26+'SAT-EXPL'!P26</f>
        <v>3</v>
      </c>
      <c r="Q26" s="10">
        <f>'CLE-EXPL'!Q26+'MAN-EXPL'!Q26+'MH-EXPL'!Q26+'SAT-EXPL'!Q26</f>
        <v>4</v>
      </c>
      <c r="R26" s="10">
        <f>'CLE-EXPL'!R26+'MAN-EXPL'!R26+'MH-EXPL'!R26+'SAT-EXPL'!R26</f>
        <v>7</v>
      </c>
      <c r="S26" s="10">
        <f>'CLE-EXPL'!S26+'MAN-EXPL'!S26+'MH-EXPL'!S26+'SAT-EXPL'!S26</f>
        <v>2</v>
      </c>
      <c r="T26" s="10">
        <f>'CLE-EXPL'!T26+'MAN-EXPL'!T26+'MH-EXPL'!T26+'SAT-EXPL'!T26</f>
        <v>2</v>
      </c>
      <c r="U26" s="10">
        <f>'CLE-EXPL'!U26+'MAN-EXPL'!U26+'MH-EXPL'!U26+'SAT-EXPL'!U26</f>
        <v>5</v>
      </c>
      <c r="V26" s="10">
        <f>'CLE-EXPL'!V26+'MAN-EXPL'!V26+'MH-EXPL'!V26+'SAT-EXPL'!V26</f>
        <v>4</v>
      </c>
      <c r="W26" s="10">
        <f>SUM(K26:V26)</f>
        <v>68</v>
      </c>
      <c r="X26" s="10">
        <f>'CLE-EXPL'!X26+'MAN-EXPL'!X26+'MH-EXPL'!X26+'SAT-EXPL'!X26</f>
        <v>17</v>
      </c>
      <c r="Y26" s="10">
        <f>'CLE-EXPL'!Y26+'MAN-EXPL'!Y26+'MH-EXPL'!Y26+'SAT-EXPL'!Y26</f>
        <v>14</v>
      </c>
      <c r="Z26" s="10">
        <f>SUM(X26:Y26)</f>
        <v>31</v>
      </c>
      <c r="AB26" s="58" t="s">
        <v>4</v>
      </c>
      <c r="AC26" s="19">
        <f>IFERROR(B26/SUM($B26+$C26+$J26+$W26+$Z26),"")</f>
        <v>0.59610027855153203</v>
      </c>
      <c r="AD26" s="19">
        <f>IFERROR(C26/SUM($B26+$C26+$J26+$W26+$Z26),"")</f>
        <v>0.13370473537604458</v>
      </c>
      <c r="AE26" s="19">
        <f>IFERROR(J26/SUM($B26+$C26+$J26+$W26+$Z26),"")</f>
        <v>0.17827298050139276</v>
      </c>
      <c r="AF26" s="19">
        <f>IFERROR(W26/SUM($B26+$C26+$J26+$W26+$Z26),"")</f>
        <v>6.313834726090993E-2</v>
      </c>
      <c r="AG26" s="19">
        <f>IFERROR(Z26/SUM($B26+$C26+$J26+$W26+$Z26),"")</f>
        <v>2.8783658310120707E-2</v>
      </c>
    </row>
    <row r="27" spans="1:33" x14ac:dyDescent="0.25">
      <c r="A27" s="58" t="s">
        <v>43</v>
      </c>
      <c r="B27" s="10">
        <f>'CLE-EXPL'!B27+'MAN-EXPL'!B27+'MH-EXPL'!B27+'SAT-EXPL'!B27</f>
        <v>17</v>
      </c>
      <c r="C27" s="10">
        <f>'CLE-EXPL'!C27+'MAN-EXPL'!C27+'MH-EXPL'!C27+'SAT-EXPL'!C27</f>
        <v>1</v>
      </c>
      <c r="D27" s="10">
        <f>'CLE-EXPL'!D27+'MAN-EXPL'!D27+'MH-EXPL'!D27+'SAT-EXPL'!D27</f>
        <v>1</v>
      </c>
      <c r="E27" s="10">
        <f>'CLE-EXPL'!E27+'MAN-EXPL'!E27+'MH-EXPL'!E27+'SAT-EXPL'!E27</f>
        <v>1</v>
      </c>
      <c r="F27" s="10">
        <f>'CLE-EXPL'!F27+'MAN-EXPL'!F27+'MH-EXPL'!F27+'SAT-EXPL'!F27</f>
        <v>0</v>
      </c>
      <c r="G27" s="10">
        <f>'CLE-EXPL'!G27+'MAN-EXPL'!G27+'MH-EXPL'!G27+'SAT-EXPL'!G27</f>
        <v>0</v>
      </c>
      <c r="H27" s="10">
        <f>'CLE-EXPL'!H27+'MAN-EXPL'!H27+'MH-EXPL'!H27+'SAT-EXPL'!H27</f>
        <v>0</v>
      </c>
      <c r="I27" s="10">
        <f>'CLE-EXPL'!I27+'MAN-EXPL'!I27+'MH-EXPL'!I27+'SAT-EXPL'!I27</f>
        <v>0</v>
      </c>
      <c r="J27" s="10">
        <f t="shared" ref="J27:J38" si="9">SUM(D27:I27)</f>
        <v>2</v>
      </c>
      <c r="K27" s="10">
        <f>'CLE-EXPL'!K27+'MAN-EXPL'!K27+'MH-EXPL'!K27+'SAT-EXPL'!K27</f>
        <v>0</v>
      </c>
      <c r="L27" s="10">
        <f>'CLE-EXPL'!L27+'MAN-EXPL'!L27+'MH-EXPL'!L27+'SAT-EXPL'!L27</f>
        <v>0</v>
      </c>
      <c r="M27" s="10">
        <f>'CLE-EXPL'!M27+'MAN-EXPL'!M27+'MH-EXPL'!M27+'SAT-EXPL'!M27</f>
        <v>0</v>
      </c>
      <c r="N27" s="10">
        <f>'CLE-EXPL'!N27+'MAN-EXPL'!N27+'MH-EXPL'!N27+'SAT-EXPL'!N27</f>
        <v>0</v>
      </c>
      <c r="O27" s="10">
        <f>'CLE-EXPL'!O27+'MAN-EXPL'!O27+'MH-EXPL'!O27+'SAT-EXPL'!O27</f>
        <v>0</v>
      </c>
      <c r="P27" s="10">
        <f>'CLE-EXPL'!P27+'MAN-EXPL'!P27+'MH-EXPL'!P27+'SAT-EXPL'!P27</f>
        <v>0</v>
      </c>
      <c r="Q27" s="10">
        <f>'CLE-EXPL'!Q27+'MAN-EXPL'!Q27+'MH-EXPL'!Q27+'SAT-EXPL'!Q27</f>
        <v>0</v>
      </c>
      <c r="R27" s="10">
        <f>'CLE-EXPL'!R27+'MAN-EXPL'!R27+'MH-EXPL'!R27+'SAT-EXPL'!R27</f>
        <v>0</v>
      </c>
      <c r="S27" s="10">
        <f>'CLE-EXPL'!S27+'MAN-EXPL'!S27+'MH-EXPL'!S27+'SAT-EXPL'!S27</f>
        <v>0</v>
      </c>
      <c r="T27" s="10">
        <f>'CLE-EXPL'!T27+'MAN-EXPL'!T27+'MH-EXPL'!T27+'SAT-EXPL'!T27</f>
        <v>0</v>
      </c>
      <c r="U27" s="10">
        <f>'CLE-EXPL'!U27+'MAN-EXPL'!U27+'MH-EXPL'!U27+'SAT-EXPL'!U27</f>
        <v>0</v>
      </c>
      <c r="V27" s="10">
        <f>'CLE-EXPL'!V27+'MAN-EXPL'!V27+'MH-EXPL'!V27+'SAT-EXPL'!V27</f>
        <v>0</v>
      </c>
      <c r="W27" s="10">
        <f t="shared" ref="W27:W42" si="10">SUM(K27:V27)</f>
        <v>0</v>
      </c>
      <c r="X27" s="10">
        <f>'CLE-EXPL'!X27+'MAN-EXPL'!X27+'MH-EXPL'!X27+'SAT-EXPL'!X27</f>
        <v>0</v>
      </c>
      <c r="Y27" s="10">
        <f>'CLE-EXPL'!Y27+'MAN-EXPL'!Y27+'MH-EXPL'!Y27+'SAT-EXPL'!Y27</f>
        <v>0</v>
      </c>
      <c r="Z27" s="10">
        <f t="shared" ref="Z27:Z42" si="11">SUM(X27:Y27)</f>
        <v>0</v>
      </c>
      <c r="AB27" s="58" t="s">
        <v>43</v>
      </c>
      <c r="AC27" s="19">
        <f t="shared" ref="AC27:AD42" si="12">IFERROR(B27/SUM($B27+$C27+$J27+$W27+$Z27),"")</f>
        <v>0.85</v>
      </c>
      <c r="AD27" s="19">
        <f t="shared" si="12"/>
        <v>0.05</v>
      </c>
      <c r="AE27" s="19">
        <f t="shared" ref="AE27:AE42" si="13">IFERROR(J27/SUM($B27+$C27+$J27+$W27+$Z27),"")</f>
        <v>0.1</v>
      </c>
      <c r="AF27" s="19">
        <f t="shared" ref="AF27:AF42" si="14">IFERROR(W27/SUM($B27+$C27+$J27+$W27+$Z27),"")</f>
        <v>0</v>
      </c>
      <c r="AG27" s="19">
        <f t="shared" ref="AG27:AG42" si="15">IFERROR(Z27/SUM($B27+$C27+$J27+$W27+$Z27),"")</f>
        <v>0</v>
      </c>
    </row>
    <row r="28" spans="1:33" x14ac:dyDescent="0.25">
      <c r="A28" s="58" t="s">
        <v>13</v>
      </c>
      <c r="B28" s="10">
        <f>'CLE-EXPL'!B28+'MAN-EXPL'!B28+'MH-EXPL'!B28+'SAT-EXPL'!B28</f>
        <v>0</v>
      </c>
      <c r="C28" s="10">
        <f>'CLE-EXPL'!C28+'MAN-EXPL'!C28+'MH-EXPL'!C28+'SAT-EXPL'!C28</f>
        <v>0</v>
      </c>
      <c r="D28" s="10">
        <f>'CLE-EXPL'!D28+'MAN-EXPL'!D28+'MH-EXPL'!D28+'SAT-EXPL'!D28</f>
        <v>0</v>
      </c>
      <c r="E28" s="10">
        <f>'CLE-EXPL'!E28+'MAN-EXPL'!E28+'MH-EXPL'!E28+'SAT-EXPL'!E28</f>
        <v>0</v>
      </c>
      <c r="F28" s="10">
        <f>'CLE-EXPL'!F28+'MAN-EXPL'!F28+'MH-EXPL'!F28+'SAT-EXPL'!F28</f>
        <v>0</v>
      </c>
      <c r="G28" s="10">
        <f>'CLE-EXPL'!G28+'MAN-EXPL'!G28+'MH-EXPL'!G28+'SAT-EXPL'!G28</f>
        <v>0</v>
      </c>
      <c r="H28" s="10">
        <f>'CLE-EXPL'!H28+'MAN-EXPL'!H28+'MH-EXPL'!H28+'SAT-EXPL'!H28</f>
        <v>0</v>
      </c>
      <c r="I28" s="10">
        <f>'CLE-EXPL'!I28+'MAN-EXPL'!I28+'MH-EXPL'!I28+'SAT-EXPL'!I28</f>
        <v>0</v>
      </c>
      <c r="J28" s="10">
        <f t="shared" si="9"/>
        <v>0</v>
      </c>
      <c r="K28" s="10">
        <f>'CLE-EXPL'!K28+'MAN-EXPL'!K28+'MH-EXPL'!K28+'SAT-EXPL'!K28</f>
        <v>0</v>
      </c>
      <c r="L28" s="10">
        <f>'CLE-EXPL'!L28+'MAN-EXPL'!L28+'MH-EXPL'!L28+'SAT-EXPL'!L28</f>
        <v>0</v>
      </c>
      <c r="M28" s="10">
        <f>'CLE-EXPL'!M28+'MAN-EXPL'!M28+'MH-EXPL'!M28+'SAT-EXPL'!M28</f>
        <v>0</v>
      </c>
      <c r="N28" s="10">
        <f>'CLE-EXPL'!N28+'MAN-EXPL'!N28+'MH-EXPL'!N28+'SAT-EXPL'!N28</f>
        <v>0</v>
      </c>
      <c r="O28" s="10">
        <f>'CLE-EXPL'!O28+'MAN-EXPL'!O28+'MH-EXPL'!O28+'SAT-EXPL'!O28</f>
        <v>0</v>
      </c>
      <c r="P28" s="10">
        <f>'CLE-EXPL'!P28+'MAN-EXPL'!P28+'MH-EXPL'!P28+'SAT-EXPL'!P28</f>
        <v>0</v>
      </c>
      <c r="Q28" s="10">
        <f>'CLE-EXPL'!Q28+'MAN-EXPL'!Q28+'MH-EXPL'!Q28+'SAT-EXPL'!Q28</f>
        <v>0</v>
      </c>
      <c r="R28" s="10">
        <f>'CLE-EXPL'!R28+'MAN-EXPL'!R28+'MH-EXPL'!R28+'SAT-EXPL'!R28</f>
        <v>0</v>
      </c>
      <c r="S28" s="10">
        <f>'CLE-EXPL'!S28+'MAN-EXPL'!S28+'MH-EXPL'!S28+'SAT-EXPL'!S28</f>
        <v>0</v>
      </c>
      <c r="T28" s="10">
        <f>'CLE-EXPL'!T28+'MAN-EXPL'!T28+'MH-EXPL'!T28+'SAT-EXPL'!T28</f>
        <v>0</v>
      </c>
      <c r="U28" s="10">
        <f>'CLE-EXPL'!U28+'MAN-EXPL'!U28+'MH-EXPL'!U28+'SAT-EXPL'!U28</f>
        <v>0</v>
      </c>
      <c r="V28" s="10">
        <f>'CLE-EXPL'!V28+'MAN-EXPL'!V28+'MH-EXPL'!V28+'SAT-EXPL'!V28</f>
        <v>0</v>
      </c>
      <c r="W28" s="10">
        <f t="shared" si="10"/>
        <v>0</v>
      </c>
      <c r="X28" s="10">
        <f>'CLE-EXPL'!X28+'MAN-EXPL'!X28+'MH-EXPL'!X28+'SAT-EXPL'!X28</f>
        <v>0</v>
      </c>
      <c r="Y28" s="10">
        <f>'CLE-EXPL'!Y28+'MAN-EXPL'!Y28+'MH-EXPL'!Y28+'SAT-EXPL'!Y28</f>
        <v>0</v>
      </c>
      <c r="Z28" s="10">
        <f t="shared" si="11"/>
        <v>0</v>
      </c>
      <c r="AB28" s="58" t="s">
        <v>13</v>
      </c>
      <c r="AC28" s="19" t="str">
        <f t="shared" si="12"/>
        <v/>
      </c>
      <c r="AD28" s="19" t="str">
        <f t="shared" si="12"/>
        <v/>
      </c>
      <c r="AE28" s="19" t="str">
        <f t="shared" si="13"/>
        <v/>
      </c>
      <c r="AF28" s="19" t="str">
        <f t="shared" si="14"/>
        <v/>
      </c>
      <c r="AG28" s="19" t="str">
        <f t="shared" si="15"/>
        <v/>
      </c>
    </row>
    <row r="29" spans="1:33" x14ac:dyDescent="0.25">
      <c r="A29" s="58" t="s">
        <v>14</v>
      </c>
      <c r="B29" s="10">
        <f>'CLE-EXPL'!B29+'MAN-EXPL'!B29+'MH-EXPL'!B29+'SAT-EXPL'!B29</f>
        <v>23381</v>
      </c>
      <c r="C29" s="10">
        <f>'CLE-EXPL'!C29+'MAN-EXPL'!C29+'MH-EXPL'!C29+'SAT-EXPL'!C29</f>
        <v>1171</v>
      </c>
      <c r="D29" s="10">
        <f>'CLE-EXPL'!D29+'MAN-EXPL'!D29+'MH-EXPL'!D29+'SAT-EXPL'!D29</f>
        <v>285</v>
      </c>
      <c r="E29" s="10">
        <f>'CLE-EXPL'!E29+'MAN-EXPL'!E29+'MH-EXPL'!E29+'SAT-EXPL'!E29</f>
        <v>130</v>
      </c>
      <c r="F29" s="10">
        <f>'CLE-EXPL'!F29+'MAN-EXPL'!F29+'MH-EXPL'!F29+'SAT-EXPL'!F29</f>
        <v>82</v>
      </c>
      <c r="G29" s="10">
        <f>'CLE-EXPL'!G29+'MAN-EXPL'!G29+'MH-EXPL'!G29+'SAT-EXPL'!G29</f>
        <v>41</v>
      </c>
      <c r="H29" s="10">
        <f>'CLE-EXPL'!H29+'MAN-EXPL'!H29+'MH-EXPL'!H29+'SAT-EXPL'!H29</f>
        <v>33</v>
      </c>
      <c r="I29" s="10">
        <f>'CLE-EXPL'!I29+'MAN-EXPL'!I29+'MH-EXPL'!I29+'SAT-EXPL'!I29</f>
        <v>19</v>
      </c>
      <c r="J29" s="10">
        <f t="shared" si="9"/>
        <v>590</v>
      </c>
      <c r="K29" s="10">
        <f>'CLE-EXPL'!K29+'MAN-EXPL'!K29+'MH-EXPL'!K29+'SAT-EXPL'!K29</f>
        <v>14</v>
      </c>
      <c r="L29" s="10">
        <f>'CLE-EXPL'!L29+'MAN-EXPL'!L29+'MH-EXPL'!L29+'SAT-EXPL'!L29</f>
        <v>16</v>
      </c>
      <c r="M29" s="10">
        <f>'CLE-EXPL'!M29+'MAN-EXPL'!M29+'MH-EXPL'!M29+'SAT-EXPL'!M29</f>
        <v>3</v>
      </c>
      <c r="N29" s="10">
        <f>'CLE-EXPL'!N29+'MAN-EXPL'!N29+'MH-EXPL'!N29+'SAT-EXPL'!N29</f>
        <v>2</v>
      </c>
      <c r="O29" s="10">
        <f>'CLE-EXPL'!O29+'MAN-EXPL'!O29+'MH-EXPL'!O29+'SAT-EXPL'!O29</f>
        <v>5</v>
      </c>
      <c r="P29" s="10">
        <f>'CLE-EXPL'!P29+'MAN-EXPL'!P29+'MH-EXPL'!P29+'SAT-EXPL'!P29</f>
        <v>7</v>
      </c>
      <c r="Q29" s="10">
        <f>'CLE-EXPL'!Q29+'MAN-EXPL'!Q29+'MH-EXPL'!Q29+'SAT-EXPL'!Q29</f>
        <v>3</v>
      </c>
      <c r="R29" s="10">
        <f>'CLE-EXPL'!R29+'MAN-EXPL'!R29+'MH-EXPL'!R29+'SAT-EXPL'!R29</f>
        <v>2</v>
      </c>
      <c r="S29" s="10">
        <f>'CLE-EXPL'!S29+'MAN-EXPL'!S29+'MH-EXPL'!S29+'SAT-EXPL'!S29</f>
        <v>2</v>
      </c>
      <c r="T29" s="10">
        <f>'CLE-EXPL'!T29+'MAN-EXPL'!T29+'MH-EXPL'!T29+'SAT-EXPL'!T29</f>
        <v>2</v>
      </c>
      <c r="U29" s="10">
        <f>'CLE-EXPL'!U29+'MAN-EXPL'!U29+'MH-EXPL'!U29+'SAT-EXPL'!U29</f>
        <v>1</v>
      </c>
      <c r="V29" s="10">
        <f>'CLE-EXPL'!V29+'MAN-EXPL'!V29+'MH-EXPL'!V29+'SAT-EXPL'!V29</f>
        <v>1</v>
      </c>
      <c r="W29" s="10">
        <f t="shared" si="10"/>
        <v>58</v>
      </c>
      <c r="X29" s="10">
        <f>'CLE-EXPL'!X29+'MAN-EXPL'!X29+'MH-EXPL'!X29+'SAT-EXPL'!X29</f>
        <v>6</v>
      </c>
      <c r="Y29" s="10">
        <f>'CLE-EXPL'!Y29+'MAN-EXPL'!Y29+'MH-EXPL'!Y29+'SAT-EXPL'!Y29</f>
        <v>5</v>
      </c>
      <c r="Z29" s="10">
        <f t="shared" si="11"/>
        <v>11</v>
      </c>
      <c r="AB29" s="58" t="s">
        <v>14</v>
      </c>
      <c r="AC29" s="19">
        <f t="shared" si="12"/>
        <v>0.92741263734084334</v>
      </c>
      <c r="AD29" s="19">
        <f t="shared" si="12"/>
        <v>4.6447979056760937E-2</v>
      </c>
      <c r="AE29" s="19">
        <f t="shared" si="13"/>
        <v>2.3402483043116099E-2</v>
      </c>
      <c r="AF29" s="19">
        <f t="shared" si="14"/>
        <v>2.3005830788148029E-3</v>
      </c>
      <c r="AG29" s="19">
        <f t="shared" si="15"/>
        <v>4.3631748046487647E-4</v>
      </c>
    </row>
    <row r="30" spans="1:33" x14ac:dyDescent="0.25">
      <c r="A30" s="58" t="s">
        <v>36</v>
      </c>
      <c r="B30" s="10">
        <f>'CLE-EXPL'!B30+'MAN-EXPL'!B30+'MH-EXPL'!B30+'SAT-EXPL'!B30</f>
        <v>0</v>
      </c>
      <c r="C30" s="10">
        <f>'CLE-EXPL'!C30+'MAN-EXPL'!C30+'MH-EXPL'!C30+'SAT-EXPL'!C30</f>
        <v>0</v>
      </c>
      <c r="D30" s="10">
        <f>'CLE-EXPL'!D30+'MAN-EXPL'!D30+'MH-EXPL'!D30+'SAT-EXPL'!D30</f>
        <v>0</v>
      </c>
      <c r="E30" s="10">
        <f>'CLE-EXPL'!E30+'MAN-EXPL'!E30+'MH-EXPL'!E30+'SAT-EXPL'!E30</f>
        <v>0</v>
      </c>
      <c r="F30" s="10">
        <f>'CLE-EXPL'!F30+'MAN-EXPL'!F30+'MH-EXPL'!F30+'SAT-EXPL'!F30</f>
        <v>0</v>
      </c>
      <c r="G30" s="10">
        <f>'CLE-EXPL'!G30+'MAN-EXPL'!G30+'MH-EXPL'!G30+'SAT-EXPL'!G30</f>
        <v>0</v>
      </c>
      <c r="H30" s="10">
        <f>'CLE-EXPL'!H30+'MAN-EXPL'!H30+'MH-EXPL'!H30+'SAT-EXPL'!H30</f>
        <v>0</v>
      </c>
      <c r="I30" s="10">
        <f>'CLE-EXPL'!I30+'MAN-EXPL'!I30+'MH-EXPL'!I30+'SAT-EXPL'!I30</f>
        <v>0</v>
      </c>
      <c r="J30" s="10">
        <f t="shared" si="9"/>
        <v>0</v>
      </c>
      <c r="K30" s="10">
        <f>'CLE-EXPL'!K30+'MAN-EXPL'!K30+'MH-EXPL'!K30+'SAT-EXPL'!K30</f>
        <v>0</v>
      </c>
      <c r="L30" s="10">
        <f>'CLE-EXPL'!L30+'MAN-EXPL'!L30+'MH-EXPL'!L30+'SAT-EXPL'!L30</f>
        <v>0</v>
      </c>
      <c r="M30" s="10">
        <f>'CLE-EXPL'!M30+'MAN-EXPL'!M30+'MH-EXPL'!M30+'SAT-EXPL'!M30</f>
        <v>0</v>
      </c>
      <c r="N30" s="10">
        <f>'CLE-EXPL'!N30+'MAN-EXPL'!N30+'MH-EXPL'!N30+'SAT-EXPL'!N30</f>
        <v>0</v>
      </c>
      <c r="O30" s="10">
        <f>'CLE-EXPL'!O30+'MAN-EXPL'!O30+'MH-EXPL'!O30+'SAT-EXPL'!O30</f>
        <v>0</v>
      </c>
      <c r="P30" s="10">
        <f>'CLE-EXPL'!P30+'MAN-EXPL'!P30+'MH-EXPL'!P30+'SAT-EXPL'!P30</f>
        <v>0</v>
      </c>
      <c r="Q30" s="10">
        <f>'CLE-EXPL'!Q30+'MAN-EXPL'!Q30+'MH-EXPL'!Q30+'SAT-EXPL'!Q30</f>
        <v>0</v>
      </c>
      <c r="R30" s="10">
        <f>'CLE-EXPL'!R30+'MAN-EXPL'!R30+'MH-EXPL'!R30+'SAT-EXPL'!R30</f>
        <v>0</v>
      </c>
      <c r="S30" s="10">
        <f>'CLE-EXPL'!S30+'MAN-EXPL'!S30+'MH-EXPL'!S30+'SAT-EXPL'!S30</f>
        <v>0</v>
      </c>
      <c r="T30" s="10">
        <f>'CLE-EXPL'!T30+'MAN-EXPL'!T30+'MH-EXPL'!T30+'SAT-EXPL'!T30</f>
        <v>0</v>
      </c>
      <c r="U30" s="10">
        <f>'CLE-EXPL'!U30+'MAN-EXPL'!U30+'MH-EXPL'!U30+'SAT-EXPL'!U30</f>
        <v>0</v>
      </c>
      <c r="V30" s="10">
        <f>'CLE-EXPL'!V30+'MAN-EXPL'!V30+'MH-EXPL'!V30+'SAT-EXPL'!V30</f>
        <v>0</v>
      </c>
      <c r="W30" s="10">
        <f t="shared" si="10"/>
        <v>0</v>
      </c>
      <c r="X30" s="10">
        <f>'CLE-EXPL'!X30+'MAN-EXPL'!X30+'MH-EXPL'!X30+'SAT-EXPL'!X30</f>
        <v>0</v>
      </c>
      <c r="Y30" s="10">
        <f>'CLE-EXPL'!Y30+'MAN-EXPL'!Y30+'MH-EXPL'!Y30+'SAT-EXPL'!Y30</f>
        <v>0</v>
      </c>
      <c r="Z30" s="10">
        <f t="shared" si="11"/>
        <v>0</v>
      </c>
      <c r="AB30" s="58" t="s">
        <v>36</v>
      </c>
      <c r="AC30" s="19" t="str">
        <f t="shared" si="12"/>
        <v/>
      </c>
      <c r="AD30" s="19" t="str">
        <f t="shared" si="12"/>
        <v/>
      </c>
      <c r="AE30" s="19" t="str">
        <f t="shared" si="13"/>
        <v/>
      </c>
      <c r="AF30" s="19" t="str">
        <f t="shared" si="14"/>
        <v/>
      </c>
      <c r="AG30" s="19" t="str">
        <f t="shared" si="15"/>
        <v/>
      </c>
    </row>
    <row r="31" spans="1:33" x14ac:dyDescent="0.25">
      <c r="A31" s="58" t="s">
        <v>39</v>
      </c>
      <c r="B31" s="10">
        <f>'CLE-EXPL'!B31+'MAN-EXPL'!B31+'MH-EXPL'!B31+'SAT-EXPL'!B31</f>
        <v>19</v>
      </c>
      <c r="C31" s="10">
        <f>'CLE-EXPL'!C31+'MAN-EXPL'!C31+'MH-EXPL'!C31+'SAT-EXPL'!C31</f>
        <v>5</v>
      </c>
      <c r="D31" s="10">
        <f>'CLE-EXPL'!D31+'MAN-EXPL'!D31+'MH-EXPL'!D31+'SAT-EXPL'!D31</f>
        <v>1</v>
      </c>
      <c r="E31" s="10">
        <f>'CLE-EXPL'!E31+'MAN-EXPL'!E31+'MH-EXPL'!E31+'SAT-EXPL'!E31</f>
        <v>0</v>
      </c>
      <c r="F31" s="10">
        <f>'CLE-EXPL'!F31+'MAN-EXPL'!F31+'MH-EXPL'!F31+'SAT-EXPL'!F31</f>
        <v>2</v>
      </c>
      <c r="G31" s="10">
        <f>'CLE-EXPL'!G31+'MAN-EXPL'!G31+'MH-EXPL'!G31+'SAT-EXPL'!G31</f>
        <v>3</v>
      </c>
      <c r="H31" s="10">
        <f>'CLE-EXPL'!H31+'MAN-EXPL'!H31+'MH-EXPL'!H31+'SAT-EXPL'!H31</f>
        <v>0</v>
      </c>
      <c r="I31" s="10">
        <f>'CLE-EXPL'!I31+'MAN-EXPL'!I31+'MH-EXPL'!I31+'SAT-EXPL'!I31</f>
        <v>0</v>
      </c>
      <c r="J31" s="10">
        <f t="shared" si="9"/>
        <v>6</v>
      </c>
      <c r="K31" s="10">
        <f>'CLE-EXPL'!K31+'MAN-EXPL'!K31+'MH-EXPL'!K31+'SAT-EXPL'!K31</f>
        <v>1</v>
      </c>
      <c r="L31" s="10">
        <f>'CLE-EXPL'!L31+'MAN-EXPL'!L31+'MH-EXPL'!L31+'SAT-EXPL'!L31</f>
        <v>0</v>
      </c>
      <c r="M31" s="10">
        <f>'CLE-EXPL'!M31+'MAN-EXPL'!M31+'MH-EXPL'!M31+'SAT-EXPL'!M31</f>
        <v>0</v>
      </c>
      <c r="N31" s="10">
        <f>'CLE-EXPL'!N31+'MAN-EXPL'!N31+'MH-EXPL'!N31+'SAT-EXPL'!N31</f>
        <v>0</v>
      </c>
      <c r="O31" s="10">
        <f>'CLE-EXPL'!O31+'MAN-EXPL'!O31+'MH-EXPL'!O31+'SAT-EXPL'!O31</f>
        <v>0</v>
      </c>
      <c r="P31" s="10">
        <f>'CLE-EXPL'!P31+'MAN-EXPL'!P31+'MH-EXPL'!P31+'SAT-EXPL'!P31</f>
        <v>1</v>
      </c>
      <c r="Q31" s="10">
        <f>'CLE-EXPL'!Q31+'MAN-EXPL'!Q31+'MH-EXPL'!Q31+'SAT-EXPL'!Q31</f>
        <v>0</v>
      </c>
      <c r="R31" s="10">
        <f>'CLE-EXPL'!R31+'MAN-EXPL'!R31+'MH-EXPL'!R31+'SAT-EXPL'!R31</f>
        <v>0</v>
      </c>
      <c r="S31" s="10">
        <f>'CLE-EXPL'!S31+'MAN-EXPL'!S31+'MH-EXPL'!S31+'SAT-EXPL'!S31</f>
        <v>0</v>
      </c>
      <c r="T31" s="10">
        <f>'CLE-EXPL'!T31+'MAN-EXPL'!T31+'MH-EXPL'!T31+'SAT-EXPL'!T31</f>
        <v>0</v>
      </c>
      <c r="U31" s="10">
        <f>'CLE-EXPL'!U31+'MAN-EXPL'!U31+'MH-EXPL'!U31+'SAT-EXPL'!U31</f>
        <v>0</v>
      </c>
      <c r="V31" s="10">
        <f>'CLE-EXPL'!V31+'MAN-EXPL'!V31+'MH-EXPL'!V31+'SAT-EXPL'!V31</f>
        <v>0</v>
      </c>
      <c r="W31" s="10">
        <f t="shared" si="10"/>
        <v>2</v>
      </c>
      <c r="X31" s="10">
        <f>'CLE-EXPL'!X31+'MAN-EXPL'!X31+'MH-EXPL'!X31+'SAT-EXPL'!X31</f>
        <v>0</v>
      </c>
      <c r="Y31" s="10">
        <f>'CLE-EXPL'!Y31+'MAN-EXPL'!Y31+'MH-EXPL'!Y31+'SAT-EXPL'!Y31</f>
        <v>0</v>
      </c>
      <c r="Z31" s="10">
        <f t="shared" si="11"/>
        <v>0</v>
      </c>
      <c r="AB31" s="58" t="s">
        <v>39</v>
      </c>
      <c r="AC31" s="19">
        <f t="shared" si="12"/>
        <v>0.59375</v>
      </c>
      <c r="AD31" s="19">
        <f t="shared" si="12"/>
        <v>0.15625</v>
      </c>
      <c r="AE31" s="19">
        <f t="shared" si="13"/>
        <v>0.1875</v>
      </c>
      <c r="AF31" s="19">
        <f t="shared" si="14"/>
        <v>6.25E-2</v>
      </c>
      <c r="AG31" s="19">
        <f t="shared" si="15"/>
        <v>0</v>
      </c>
    </row>
    <row r="32" spans="1:33" x14ac:dyDescent="0.25">
      <c r="A32" s="58" t="s">
        <v>18</v>
      </c>
      <c r="B32" s="10">
        <f>'CLE-EXPL'!B32+'MAN-EXPL'!B32+'MH-EXPL'!B32+'SAT-EXPL'!B32</f>
        <v>0</v>
      </c>
      <c r="C32" s="10">
        <f>'CLE-EXPL'!C32+'MAN-EXPL'!C32+'MH-EXPL'!C32+'SAT-EXPL'!C32</f>
        <v>0</v>
      </c>
      <c r="D32" s="10">
        <f>'CLE-EXPL'!D32+'MAN-EXPL'!D32+'MH-EXPL'!D32+'SAT-EXPL'!D32</f>
        <v>0</v>
      </c>
      <c r="E32" s="10">
        <f>'CLE-EXPL'!E32+'MAN-EXPL'!E32+'MH-EXPL'!E32+'SAT-EXPL'!E32</f>
        <v>0</v>
      </c>
      <c r="F32" s="10">
        <f>'CLE-EXPL'!F32+'MAN-EXPL'!F32+'MH-EXPL'!F32+'SAT-EXPL'!F32</f>
        <v>0</v>
      </c>
      <c r="G32" s="10">
        <f>'CLE-EXPL'!G32+'MAN-EXPL'!G32+'MH-EXPL'!G32+'SAT-EXPL'!G32</f>
        <v>0</v>
      </c>
      <c r="H32" s="10">
        <f>'CLE-EXPL'!H32+'MAN-EXPL'!H32+'MH-EXPL'!H32+'SAT-EXPL'!H32</f>
        <v>0</v>
      </c>
      <c r="I32" s="10">
        <f>'CLE-EXPL'!I32+'MAN-EXPL'!I32+'MH-EXPL'!I32+'SAT-EXPL'!I32</f>
        <v>0</v>
      </c>
      <c r="J32" s="10">
        <f t="shared" si="9"/>
        <v>0</v>
      </c>
      <c r="K32" s="10">
        <f>'CLE-EXPL'!K32+'MAN-EXPL'!K32+'MH-EXPL'!K32+'SAT-EXPL'!K32</f>
        <v>0</v>
      </c>
      <c r="L32" s="10">
        <f>'CLE-EXPL'!L32+'MAN-EXPL'!L32+'MH-EXPL'!L32+'SAT-EXPL'!L32</f>
        <v>0</v>
      </c>
      <c r="M32" s="10">
        <f>'CLE-EXPL'!M32+'MAN-EXPL'!M32+'MH-EXPL'!M32+'SAT-EXPL'!M32</f>
        <v>0</v>
      </c>
      <c r="N32" s="10">
        <f>'CLE-EXPL'!N32+'MAN-EXPL'!N32+'MH-EXPL'!N32+'SAT-EXPL'!N32</f>
        <v>0</v>
      </c>
      <c r="O32" s="10">
        <f>'CLE-EXPL'!O32+'MAN-EXPL'!O32+'MH-EXPL'!O32+'SAT-EXPL'!O32</f>
        <v>0</v>
      </c>
      <c r="P32" s="10">
        <f>'CLE-EXPL'!P32+'MAN-EXPL'!P32+'MH-EXPL'!P32+'SAT-EXPL'!P32</f>
        <v>0</v>
      </c>
      <c r="Q32" s="10">
        <f>'CLE-EXPL'!Q32+'MAN-EXPL'!Q32+'MH-EXPL'!Q32+'SAT-EXPL'!Q32</f>
        <v>0</v>
      </c>
      <c r="R32" s="10">
        <f>'CLE-EXPL'!R32+'MAN-EXPL'!R32+'MH-EXPL'!R32+'SAT-EXPL'!R32</f>
        <v>0</v>
      </c>
      <c r="S32" s="10">
        <f>'CLE-EXPL'!S32+'MAN-EXPL'!S32+'MH-EXPL'!S32+'SAT-EXPL'!S32</f>
        <v>0</v>
      </c>
      <c r="T32" s="10">
        <f>'CLE-EXPL'!T32+'MAN-EXPL'!T32+'MH-EXPL'!T32+'SAT-EXPL'!T32</f>
        <v>0</v>
      </c>
      <c r="U32" s="10">
        <f>'CLE-EXPL'!U32+'MAN-EXPL'!U32+'MH-EXPL'!U32+'SAT-EXPL'!U32</f>
        <v>0</v>
      </c>
      <c r="V32" s="10">
        <f>'CLE-EXPL'!V32+'MAN-EXPL'!V32+'MH-EXPL'!V32+'SAT-EXPL'!V32</f>
        <v>0</v>
      </c>
      <c r="W32" s="10">
        <f t="shared" si="10"/>
        <v>0</v>
      </c>
      <c r="X32" s="10">
        <f>'CLE-EXPL'!X32+'MAN-EXPL'!X32+'MH-EXPL'!X32+'SAT-EXPL'!X32</f>
        <v>0</v>
      </c>
      <c r="Y32" s="10">
        <f>'CLE-EXPL'!Y32+'MAN-EXPL'!Y32+'MH-EXPL'!Y32+'SAT-EXPL'!Y32</f>
        <v>0</v>
      </c>
      <c r="Z32" s="10">
        <f t="shared" si="11"/>
        <v>0</v>
      </c>
      <c r="AB32" s="58" t="s">
        <v>18</v>
      </c>
      <c r="AC32" s="19" t="str">
        <f t="shared" si="12"/>
        <v/>
      </c>
      <c r="AD32" s="19" t="str">
        <f t="shared" si="12"/>
        <v/>
      </c>
      <c r="AE32" s="19" t="str">
        <f t="shared" si="13"/>
        <v/>
      </c>
      <c r="AF32" s="19" t="str">
        <f t="shared" si="14"/>
        <v/>
      </c>
      <c r="AG32" s="19" t="str">
        <f t="shared" si="15"/>
        <v/>
      </c>
    </row>
    <row r="33" spans="1:33" x14ac:dyDescent="0.25">
      <c r="A33" s="58" t="s">
        <v>19</v>
      </c>
      <c r="B33" s="10">
        <f>'CLE-EXPL'!B33+'MAN-EXPL'!B33+'MH-EXPL'!B33+'SAT-EXPL'!B33</f>
        <v>1544</v>
      </c>
      <c r="C33" s="10">
        <f>'CLE-EXPL'!C33+'MAN-EXPL'!C33+'MH-EXPL'!C33+'SAT-EXPL'!C33</f>
        <v>117</v>
      </c>
      <c r="D33" s="10">
        <f>'CLE-EXPL'!D33+'MAN-EXPL'!D33+'MH-EXPL'!D33+'SAT-EXPL'!D33</f>
        <v>39</v>
      </c>
      <c r="E33" s="10">
        <f>'CLE-EXPL'!E33+'MAN-EXPL'!E33+'MH-EXPL'!E33+'SAT-EXPL'!E33</f>
        <v>16</v>
      </c>
      <c r="F33" s="10">
        <f>'CLE-EXPL'!F33+'MAN-EXPL'!F33+'MH-EXPL'!F33+'SAT-EXPL'!F33</f>
        <v>13</v>
      </c>
      <c r="G33" s="10">
        <f>'CLE-EXPL'!G33+'MAN-EXPL'!G33+'MH-EXPL'!G33+'SAT-EXPL'!G33</f>
        <v>8</v>
      </c>
      <c r="H33" s="10">
        <f>'CLE-EXPL'!H33+'MAN-EXPL'!H33+'MH-EXPL'!H33+'SAT-EXPL'!H33</f>
        <v>4</v>
      </c>
      <c r="I33" s="10">
        <f>'CLE-EXPL'!I33+'MAN-EXPL'!I33+'MH-EXPL'!I33+'SAT-EXPL'!I33</f>
        <v>7</v>
      </c>
      <c r="J33" s="10">
        <f t="shared" si="9"/>
        <v>87</v>
      </c>
      <c r="K33" s="10">
        <f>'CLE-EXPL'!K33+'MAN-EXPL'!K33+'MH-EXPL'!K33+'SAT-EXPL'!K33</f>
        <v>7</v>
      </c>
      <c r="L33" s="10">
        <f>'CLE-EXPL'!L33+'MAN-EXPL'!L33+'MH-EXPL'!L33+'SAT-EXPL'!L33</f>
        <v>3</v>
      </c>
      <c r="M33" s="10">
        <f>'CLE-EXPL'!M33+'MAN-EXPL'!M33+'MH-EXPL'!M33+'SAT-EXPL'!M33</f>
        <v>1</v>
      </c>
      <c r="N33" s="10">
        <f>'CLE-EXPL'!N33+'MAN-EXPL'!N33+'MH-EXPL'!N33+'SAT-EXPL'!N33</f>
        <v>2</v>
      </c>
      <c r="O33" s="10">
        <f>'CLE-EXPL'!O33+'MAN-EXPL'!O33+'MH-EXPL'!O33+'SAT-EXPL'!O33</f>
        <v>2</v>
      </c>
      <c r="P33" s="10">
        <f>'CLE-EXPL'!P33+'MAN-EXPL'!P33+'MH-EXPL'!P33+'SAT-EXPL'!P33</f>
        <v>1</v>
      </c>
      <c r="Q33" s="10">
        <f>'CLE-EXPL'!Q33+'MAN-EXPL'!Q33+'MH-EXPL'!Q33+'SAT-EXPL'!Q33</f>
        <v>1</v>
      </c>
      <c r="R33" s="10">
        <f>'CLE-EXPL'!R33+'MAN-EXPL'!R33+'MH-EXPL'!R33+'SAT-EXPL'!R33</f>
        <v>1</v>
      </c>
      <c r="S33" s="10">
        <f>'CLE-EXPL'!S33+'MAN-EXPL'!S33+'MH-EXPL'!S33+'SAT-EXPL'!S33</f>
        <v>0</v>
      </c>
      <c r="T33" s="10">
        <f>'CLE-EXPL'!T33+'MAN-EXPL'!T33+'MH-EXPL'!T33+'SAT-EXPL'!T33</f>
        <v>3</v>
      </c>
      <c r="U33" s="10">
        <f>'CLE-EXPL'!U33+'MAN-EXPL'!U33+'MH-EXPL'!U33+'SAT-EXPL'!U33</f>
        <v>0</v>
      </c>
      <c r="V33" s="10">
        <f>'CLE-EXPL'!V33+'MAN-EXPL'!V33+'MH-EXPL'!V33+'SAT-EXPL'!V33</f>
        <v>0</v>
      </c>
      <c r="W33" s="10">
        <f t="shared" si="10"/>
        <v>21</v>
      </c>
      <c r="X33" s="10">
        <f>'CLE-EXPL'!X33+'MAN-EXPL'!X33+'MH-EXPL'!X33+'SAT-EXPL'!X33</f>
        <v>4</v>
      </c>
      <c r="Y33" s="10">
        <f>'CLE-EXPL'!Y33+'MAN-EXPL'!Y33+'MH-EXPL'!Y33+'SAT-EXPL'!Y33</f>
        <v>1</v>
      </c>
      <c r="Z33" s="10">
        <f t="shared" si="11"/>
        <v>5</v>
      </c>
      <c r="AB33" s="58" t="s">
        <v>19</v>
      </c>
      <c r="AC33" s="19">
        <f t="shared" si="12"/>
        <v>0.87034949267192785</v>
      </c>
      <c r="AD33" s="19">
        <f t="shared" si="12"/>
        <v>6.5952649379932352E-2</v>
      </c>
      <c r="AE33" s="19">
        <f t="shared" si="13"/>
        <v>4.9041713641488162E-2</v>
      </c>
      <c r="AF33" s="19">
        <f t="shared" si="14"/>
        <v>1.1837655016910935E-2</v>
      </c>
      <c r="AG33" s="19">
        <f t="shared" si="15"/>
        <v>2.8184892897406989E-3</v>
      </c>
    </row>
    <row r="34" spans="1:33" x14ac:dyDescent="0.25">
      <c r="A34" s="58" t="s">
        <v>23</v>
      </c>
      <c r="B34" s="10">
        <f>'CLE-EXPL'!B34+'MAN-EXPL'!B34+'MH-EXPL'!B34+'SAT-EXPL'!B34</f>
        <v>12</v>
      </c>
      <c r="C34" s="10">
        <f>'CLE-EXPL'!C34+'MAN-EXPL'!C34+'MH-EXPL'!C34+'SAT-EXPL'!C34</f>
        <v>1</v>
      </c>
      <c r="D34" s="10">
        <f>'CLE-EXPL'!D34+'MAN-EXPL'!D34+'MH-EXPL'!D34+'SAT-EXPL'!D34</f>
        <v>0</v>
      </c>
      <c r="E34" s="10">
        <f>'CLE-EXPL'!E34+'MAN-EXPL'!E34+'MH-EXPL'!E34+'SAT-EXPL'!E34</f>
        <v>0</v>
      </c>
      <c r="F34" s="10">
        <f>'CLE-EXPL'!F34+'MAN-EXPL'!F34+'MH-EXPL'!F34+'SAT-EXPL'!F34</f>
        <v>0</v>
      </c>
      <c r="G34" s="10">
        <f>'CLE-EXPL'!G34+'MAN-EXPL'!G34+'MH-EXPL'!G34+'SAT-EXPL'!G34</f>
        <v>0</v>
      </c>
      <c r="H34" s="10">
        <f>'CLE-EXPL'!H34+'MAN-EXPL'!H34+'MH-EXPL'!H34+'SAT-EXPL'!H34</f>
        <v>0</v>
      </c>
      <c r="I34" s="10">
        <f>'CLE-EXPL'!I34+'MAN-EXPL'!I34+'MH-EXPL'!I34+'SAT-EXPL'!I34</f>
        <v>0</v>
      </c>
      <c r="J34" s="10">
        <f t="shared" si="9"/>
        <v>0</v>
      </c>
      <c r="K34" s="10">
        <f>'CLE-EXPL'!K34+'MAN-EXPL'!K34+'MH-EXPL'!K34+'SAT-EXPL'!K34</f>
        <v>0</v>
      </c>
      <c r="L34" s="10">
        <f>'CLE-EXPL'!L34+'MAN-EXPL'!L34+'MH-EXPL'!L34+'SAT-EXPL'!L34</f>
        <v>0</v>
      </c>
      <c r="M34" s="10">
        <f>'CLE-EXPL'!M34+'MAN-EXPL'!M34+'MH-EXPL'!M34+'SAT-EXPL'!M34</f>
        <v>0</v>
      </c>
      <c r="N34" s="10">
        <f>'CLE-EXPL'!N34+'MAN-EXPL'!N34+'MH-EXPL'!N34+'SAT-EXPL'!N34</f>
        <v>0</v>
      </c>
      <c r="O34" s="10">
        <f>'CLE-EXPL'!O34+'MAN-EXPL'!O34+'MH-EXPL'!O34+'SAT-EXPL'!O34</f>
        <v>0</v>
      </c>
      <c r="P34" s="10">
        <f>'CLE-EXPL'!P34+'MAN-EXPL'!P34+'MH-EXPL'!P34+'SAT-EXPL'!P34</f>
        <v>0</v>
      </c>
      <c r="Q34" s="10">
        <f>'CLE-EXPL'!Q34+'MAN-EXPL'!Q34+'MH-EXPL'!Q34+'SAT-EXPL'!Q34</f>
        <v>0</v>
      </c>
      <c r="R34" s="10">
        <f>'CLE-EXPL'!R34+'MAN-EXPL'!R34+'MH-EXPL'!R34+'SAT-EXPL'!R34</f>
        <v>0</v>
      </c>
      <c r="S34" s="10">
        <f>'CLE-EXPL'!S34+'MAN-EXPL'!S34+'MH-EXPL'!S34+'SAT-EXPL'!S34</f>
        <v>0</v>
      </c>
      <c r="T34" s="10">
        <f>'CLE-EXPL'!T34+'MAN-EXPL'!T34+'MH-EXPL'!T34+'SAT-EXPL'!T34</f>
        <v>0</v>
      </c>
      <c r="U34" s="10">
        <f>'CLE-EXPL'!U34+'MAN-EXPL'!U34+'MH-EXPL'!U34+'SAT-EXPL'!U34</f>
        <v>0</v>
      </c>
      <c r="V34" s="10">
        <f>'CLE-EXPL'!V34+'MAN-EXPL'!V34+'MH-EXPL'!V34+'SAT-EXPL'!V34</f>
        <v>0</v>
      </c>
      <c r="W34" s="10">
        <f t="shared" si="10"/>
        <v>0</v>
      </c>
      <c r="X34" s="10">
        <f>'CLE-EXPL'!X34+'MAN-EXPL'!X34+'MH-EXPL'!X34+'SAT-EXPL'!X34</f>
        <v>0</v>
      </c>
      <c r="Y34" s="10">
        <f>'CLE-EXPL'!Y34+'MAN-EXPL'!Y34+'MH-EXPL'!Y34+'SAT-EXPL'!Y34</f>
        <v>0</v>
      </c>
      <c r="Z34" s="10">
        <f t="shared" si="11"/>
        <v>0</v>
      </c>
      <c r="AB34" s="58" t="s">
        <v>23</v>
      </c>
      <c r="AC34" s="19">
        <f t="shared" si="12"/>
        <v>0.92307692307692313</v>
      </c>
      <c r="AD34" s="19">
        <f t="shared" si="12"/>
        <v>7.6923076923076927E-2</v>
      </c>
      <c r="AE34" s="19">
        <f t="shared" si="13"/>
        <v>0</v>
      </c>
      <c r="AF34" s="19">
        <f t="shared" si="14"/>
        <v>0</v>
      </c>
      <c r="AG34" s="19">
        <f t="shared" si="15"/>
        <v>0</v>
      </c>
    </row>
    <row r="35" spans="1:33" s="137" customFormat="1" x14ac:dyDescent="0.25">
      <c r="A35" s="58" t="s">
        <v>26</v>
      </c>
      <c r="B35" s="10">
        <f>'CLE-EXPL'!B35+'MAN-EXPL'!B35+'MH-EXPL'!B35+'SAT-EXPL'!B35</f>
        <v>0</v>
      </c>
      <c r="C35" s="10">
        <f>'CLE-EXPL'!C35+'MAN-EXPL'!C35+'MH-EXPL'!C35+'SAT-EXPL'!C35</f>
        <v>0</v>
      </c>
      <c r="D35" s="10">
        <f>'CLE-EXPL'!D35+'MAN-EXPL'!D35+'MH-EXPL'!D35+'SAT-EXPL'!D35</f>
        <v>0</v>
      </c>
      <c r="E35" s="10">
        <f>'CLE-EXPL'!E35+'MAN-EXPL'!E35+'MH-EXPL'!E35+'SAT-EXPL'!E35</f>
        <v>0</v>
      </c>
      <c r="F35" s="10">
        <f>'CLE-EXPL'!F35+'MAN-EXPL'!F35+'MH-EXPL'!F35+'SAT-EXPL'!F35</f>
        <v>0</v>
      </c>
      <c r="G35" s="10">
        <f>'CLE-EXPL'!G35+'MAN-EXPL'!G35+'MH-EXPL'!G35+'SAT-EXPL'!G35</f>
        <v>0</v>
      </c>
      <c r="H35" s="10">
        <f>'CLE-EXPL'!H35+'MAN-EXPL'!H35+'MH-EXPL'!H35+'SAT-EXPL'!H35</f>
        <v>0</v>
      </c>
      <c r="I35" s="10">
        <f>'CLE-EXPL'!I35+'MAN-EXPL'!I35+'MH-EXPL'!I35+'SAT-EXPL'!I35</f>
        <v>0</v>
      </c>
      <c r="J35" s="10">
        <f t="shared" si="9"/>
        <v>0</v>
      </c>
      <c r="K35" s="10">
        <f>'CLE-EXPL'!K35+'MAN-EXPL'!K35+'MH-EXPL'!K35+'SAT-EXPL'!K35</f>
        <v>0</v>
      </c>
      <c r="L35" s="10">
        <f>'CLE-EXPL'!L35+'MAN-EXPL'!L35+'MH-EXPL'!L35+'SAT-EXPL'!L35</f>
        <v>0</v>
      </c>
      <c r="M35" s="10">
        <f>'CLE-EXPL'!M35+'MAN-EXPL'!M35+'MH-EXPL'!M35+'SAT-EXPL'!M35</f>
        <v>0</v>
      </c>
      <c r="N35" s="10">
        <f>'CLE-EXPL'!N35+'MAN-EXPL'!N35+'MH-EXPL'!N35+'SAT-EXPL'!N35</f>
        <v>0</v>
      </c>
      <c r="O35" s="10">
        <f>'CLE-EXPL'!O35+'MAN-EXPL'!O35+'MH-EXPL'!O35+'SAT-EXPL'!O35</f>
        <v>0</v>
      </c>
      <c r="P35" s="10">
        <f>'CLE-EXPL'!P35+'MAN-EXPL'!P35+'MH-EXPL'!P35+'SAT-EXPL'!P35</f>
        <v>0</v>
      </c>
      <c r="Q35" s="10">
        <f>'CLE-EXPL'!Q35+'MAN-EXPL'!Q35+'MH-EXPL'!Q35+'SAT-EXPL'!Q35</f>
        <v>0</v>
      </c>
      <c r="R35" s="10">
        <f>'CLE-EXPL'!R35+'MAN-EXPL'!R35+'MH-EXPL'!R35+'SAT-EXPL'!R35</f>
        <v>0</v>
      </c>
      <c r="S35" s="10">
        <f>'CLE-EXPL'!S35+'MAN-EXPL'!S35+'MH-EXPL'!S35+'SAT-EXPL'!S35</f>
        <v>0</v>
      </c>
      <c r="T35" s="10">
        <f>'CLE-EXPL'!T35+'MAN-EXPL'!T35+'MH-EXPL'!T35+'SAT-EXPL'!T35</f>
        <v>0</v>
      </c>
      <c r="U35" s="10">
        <f>'CLE-EXPL'!U35+'MAN-EXPL'!U35+'MH-EXPL'!U35+'SAT-EXPL'!U35</f>
        <v>0</v>
      </c>
      <c r="V35" s="10">
        <f>'CLE-EXPL'!V35+'MAN-EXPL'!V35+'MH-EXPL'!V35+'SAT-EXPL'!V35</f>
        <v>0</v>
      </c>
      <c r="W35" s="10">
        <f t="shared" si="10"/>
        <v>0</v>
      </c>
      <c r="X35" s="10">
        <f>'CLE-EXPL'!X35+'MAN-EXPL'!X35+'MH-EXPL'!X35+'SAT-EXPL'!X35</f>
        <v>0</v>
      </c>
      <c r="Y35" s="10">
        <f>'CLE-EXPL'!Y35+'MAN-EXPL'!Y35+'MH-EXPL'!Y35+'SAT-EXPL'!Y35</f>
        <v>0</v>
      </c>
      <c r="Z35" s="10">
        <f t="shared" si="11"/>
        <v>0</v>
      </c>
      <c r="AB35" s="58" t="s">
        <v>26</v>
      </c>
      <c r="AC35" s="19" t="str">
        <f t="shared" si="12"/>
        <v/>
      </c>
      <c r="AD35" s="19" t="str">
        <f t="shared" si="12"/>
        <v/>
      </c>
      <c r="AE35" s="19" t="str">
        <f t="shared" si="13"/>
        <v/>
      </c>
      <c r="AF35" s="19" t="str">
        <f t="shared" si="14"/>
        <v/>
      </c>
      <c r="AG35" s="19" t="str">
        <f t="shared" si="15"/>
        <v/>
      </c>
    </row>
    <row r="36" spans="1:33" x14ac:dyDescent="0.25">
      <c r="A36" s="58" t="s">
        <v>160</v>
      </c>
      <c r="B36" s="10">
        <f>'CLE-EXPL'!B36+'MAN-EXPL'!B36+'MH-EXPL'!B36+'SAT-EXPL'!B36</f>
        <v>27</v>
      </c>
      <c r="C36" s="10">
        <f>'CLE-EXPL'!C36+'MAN-EXPL'!C36+'MH-EXPL'!C36+'SAT-EXPL'!C36</f>
        <v>2</v>
      </c>
      <c r="D36" s="10">
        <f>'CLE-EXPL'!D36+'MAN-EXPL'!D36+'MH-EXPL'!D36+'SAT-EXPL'!D36</f>
        <v>0</v>
      </c>
      <c r="E36" s="10">
        <f>'CLE-EXPL'!E36+'MAN-EXPL'!E36+'MH-EXPL'!E36+'SAT-EXPL'!E36</f>
        <v>0</v>
      </c>
      <c r="F36" s="10">
        <f>'CLE-EXPL'!F36+'MAN-EXPL'!F36+'MH-EXPL'!F36+'SAT-EXPL'!F36</f>
        <v>0</v>
      </c>
      <c r="G36" s="10">
        <f>'CLE-EXPL'!G36+'MAN-EXPL'!G36+'MH-EXPL'!G36+'SAT-EXPL'!G36</f>
        <v>0</v>
      </c>
      <c r="H36" s="10">
        <f>'CLE-EXPL'!H36+'MAN-EXPL'!H36+'MH-EXPL'!H36+'SAT-EXPL'!H36</f>
        <v>0</v>
      </c>
      <c r="I36" s="10">
        <f>'CLE-EXPL'!I36+'MAN-EXPL'!I36+'MH-EXPL'!I36+'SAT-EXPL'!I36</f>
        <v>0</v>
      </c>
      <c r="J36" s="10">
        <f t="shared" si="9"/>
        <v>0</v>
      </c>
      <c r="K36" s="10">
        <f>'CLE-EXPL'!K36+'MAN-EXPL'!K36+'MH-EXPL'!K36+'SAT-EXPL'!K36</f>
        <v>0</v>
      </c>
      <c r="L36" s="10">
        <f>'CLE-EXPL'!L36+'MAN-EXPL'!L36+'MH-EXPL'!L36+'SAT-EXPL'!L36</f>
        <v>0</v>
      </c>
      <c r="M36" s="10">
        <f>'CLE-EXPL'!M36+'MAN-EXPL'!M36+'MH-EXPL'!M36+'SAT-EXPL'!M36</f>
        <v>0</v>
      </c>
      <c r="N36" s="10">
        <f>'CLE-EXPL'!N36+'MAN-EXPL'!N36+'MH-EXPL'!N36+'SAT-EXPL'!N36</f>
        <v>0</v>
      </c>
      <c r="O36" s="10">
        <f>'CLE-EXPL'!O36+'MAN-EXPL'!O36+'MH-EXPL'!O36+'SAT-EXPL'!O36</f>
        <v>0</v>
      </c>
      <c r="P36" s="10">
        <f>'CLE-EXPL'!P36+'MAN-EXPL'!P36+'MH-EXPL'!P36+'SAT-EXPL'!P36</f>
        <v>0</v>
      </c>
      <c r="Q36" s="10">
        <f>'CLE-EXPL'!Q36+'MAN-EXPL'!Q36+'MH-EXPL'!Q36+'SAT-EXPL'!Q36</f>
        <v>0</v>
      </c>
      <c r="R36" s="10">
        <f>'CLE-EXPL'!R36+'MAN-EXPL'!R36+'MH-EXPL'!R36+'SAT-EXPL'!R36</f>
        <v>0</v>
      </c>
      <c r="S36" s="10">
        <f>'CLE-EXPL'!S36+'MAN-EXPL'!S36+'MH-EXPL'!S36+'SAT-EXPL'!S36</f>
        <v>0</v>
      </c>
      <c r="T36" s="10">
        <f>'CLE-EXPL'!T36+'MAN-EXPL'!T36+'MH-EXPL'!T36+'SAT-EXPL'!T36</f>
        <v>0</v>
      </c>
      <c r="U36" s="10">
        <f>'CLE-EXPL'!U36+'MAN-EXPL'!U36+'MH-EXPL'!U36+'SAT-EXPL'!U36</f>
        <v>0</v>
      </c>
      <c r="V36" s="10">
        <f>'CLE-EXPL'!V36+'MAN-EXPL'!V36+'MH-EXPL'!V36+'SAT-EXPL'!V36</f>
        <v>0</v>
      </c>
      <c r="W36" s="10">
        <f t="shared" si="10"/>
        <v>0</v>
      </c>
      <c r="X36" s="10">
        <f>'CLE-EXPL'!X36+'MAN-EXPL'!X36+'MH-EXPL'!X36+'SAT-EXPL'!X36</f>
        <v>0</v>
      </c>
      <c r="Y36" s="10">
        <f>'CLE-EXPL'!Y36+'MAN-EXPL'!Y36+'MH-EXPL'!Y36+'SAT-EXPL'!Y36</f>
        <v>0</v>
      </c>
      <c r="Z36" s="10">
        <f t="shared" si="11"/>
        <v>0</v>
      </c>
      <c r="AB36" s="58" t="s">
        <v>160</v>
      </c>
      <c r="AC36" s="19">
        <f t="shared" si="12"/>
        <v>0.93103448275862066</v>
      </c>
      <c r="AD36" s="19">
        <f t="shared" si="12"/>
        <v>6.8965517241379309E-2</v>
      </c>
      <c r="AE36" s="19">
        <f t="shared" si="13"/>
        <v>0</v>
      </c>
      <c r="AF36" s="19">
        <f t="shared" si="14"/>
        <v>0</v>
      </c>
      <c r="AG36" s="19">
        <f t="shared" si="15"/>
        <v>0</v>
      </c>
    </row>
    <row r="37" spans="1:33" x14ac:dyDescent="0.25">
      <c r="A37" s="58" t="s">
        <v>161</v>
      </c>
      <c r="B37" s="10">
        <f>'CLE-EXPL'!B37+'MAN-EXPL'!B37+'MH-EXPL'!B37+'SAT-EXPL'!B37</f>
        <v>0</v>
      </c>
      <c r="C37" s="10">
        <f>'CLE-EXPL'!C37+'MAN-EXPL'!C37+'MH-EXPL'!C37+'SAT-EXPL'!C37</f>
        <v>0</v>
      </c>
      <c r="D37" s="10">
        <f>'CLE-EXPL'!D37+'MAN-EXPL'!D37+'MH-EXPL'!D37+'SAT-EXPL'!D37</f>
        <v>0</v>
      </c>
      <c r="E37" s="10">
        <f>'CLE-EXPL'!E37+'MAN-EXPL'!E37+'MH-EXPL'!E37+'SAT-EXPL'!E37</f>
        <v>0</v>
      </c>
      <c r="F37" s="10">
        <f>'CLE-EXPL'!F37+'MAN-EXPL'!F37+'MH-EXPL'!F37+'SAT-EXPL'!F37</f>
        <v>0</v>
      </c>
      <c r="G37" s="10">
        <f>'CLE-EXPL'!G37+'MAN-EXPL'!G37+'MH-EXPL'!G37+'SAT-EXPL'!G37</f>
        <v>0</v>
      </c>
      <c r="H37" s="10">
        <f>'CLE-EXPL'!H37+'MAN-EXPL'!H37+'MH-EXPL'!H37+'SAT-EXPL'!H37</f>
        <v>0</v>
      </c>
      <c r="I37" s="10">
        <f>'CLE-EXPL'!I37+'MAN-EXPL'!I37+'MH-EXPL'!I37+'SAT-EXPL'!I37</f>
        <v>0</v>
      </c>
      <c r="J37" s="10">
        <f t="shared" si="9"/>
        <v>0</v>
      </c>
      <c r="K37" s="10">
        <f>'CLE-EXPL'!K37+'MAN-EXPL'!K37+'MH-EXPL'!K37+'SAT-EXPL'!K37</f>
        <v>0</v>
      </c>
      <c r="L37" s="10">
        <f>'CLE-EXPL'!L37+'MAN-EXPL'!L37+'MH-EXPL'!L37+'SAT-EXPL'!L37</f>
        <v>0</v>
      </c>
      <c r="M37" s="10">
        <f>'CLE-EXPL'!M37+'MAN-EXPL'!M37+'MH-EXPL'!M37+'SAT-EXPL'!M37</f>
        <v>0</v>
      </c>
      <c r="N37" s="10">
        <f>'CLE-EXPL'!N37+'MAN-EXPL'!N37+'MH-EXPL'!N37+'SAT-EXPL'!N37</f>
        <v>0</v>
      </c>
      <c r="O37" s="10">
        <f>'CLE-EXPL'!O37+'MAN-EXPL'!O37+'MH-EXPL'!O37+'SAT-EXPL'!O37</f>
        <v>0</v>
      </c>
      <c r="P37" s="10">
        <f>'CLE-EXPL'!P37+'MAN-EXPL'!P37+'MH-EXPL'!P37+'SAT-EXPL'!P37</f>
        <v>0</v>
      </c>
      <c r="Q37" s="10">
        <f>'CLE-EXPL'!Q37+'MAN-EXPL'!Q37+'MH-EXPL'!Q37+'SAT-EXPL'!Q37</f>
        <v>0</v>
      </c>
      <c r="R37" s="10">
        <f>'CLE-EXPL'!R37+'MAN-EXPL'!R37+'MH-EXPL'!R37+'SAT-EXPL'!R37</f>
        <v>0</v>
      </c>
      <c r="S37" s="10">
        <f>'CLE-EXPL'!S37+'MAN-EXPL'!S37+'MH-EXPL'!S37+'SAT-EXPL'!S37</f>
        <v>0</v>
      </c>
      <c r="T37" s="10">
        <f>'CLE-EXPL'!T37+'MAN-EXPL'!T37+'MH-EXPL'!T37+'SAT-EXPL'!T37</f>
        <v>0</v>
      </c>
      <c r="U37" s="10">
        <f>'CLE-EXPL'!U37+'MAN-EXPL'!U37+'MH-EXPL'!U37+'SAT-EXPL'!U37</f>
        <v>0</v>
      </c>
      <c r="V37" s="10">
        <f>'CLE-EXPL'!V37+'MAN-EXPL'!V37+'MH-EXPL'!V37+'SAT-EXPL'!V37</f>
        <v>0</v>
      </c>
      <c r="W37" s="10">
        <f t="shared" si="10"/>
        <v>0</v>
      </c>
      <c r="X37" s="10">
        <f>'CLE-EXPL'!X37+'MAN-EXPL'!X37+'MH-EXPL'!X37+'SAT-EXPL'!X37</f>
        <v>0</v>
      </c>
      <c r="Y37" s="10">
        <f>'CLE-EXPL'!Y37+'MAN-EXPL'!Y37+'MH-EXPL'!Y37+'SAT-EXPL'!Y37</f>
        <v>0</v>
      </c>
      <c r="Z37" s="10">
        <f t="shared" si="11"/>
        <v>0</v>
      </c>
      <c r="AB37" s="58" t="s">
        <v>161</v>
      </c>
      <c r="AC37" s="19" t="str">
        <f t="shared" si="12"/>
        <v/>
      </c>
      <c r="AD37" s="19" t="str">
        <f t="shared" si="12"/>
        <v/>
      </c>
      <c r="AE37" s="19" t="str">
        <f t="shared" si="13"/>
        <v/>
      </c>
      <c r="AF37" s="19" t="str">
        <f t="shared" si="14"/>
        <v/>
      </c>
      <c r="AG37" s="19" t="str">
        <f t="shared" si="15"/>
        <v/>
      </c>
    </row>
    <row r="38" spans="1:33" x14ac:dyDescent="0.25">
      <c r="A38" s="58" t="s">
        <v>89</v>
      </c>
      <c r="B38" s="10">
        <f>'CLE-EXPL'!B38+'MAN-EXPL'!B38+'MH-EXPL'!B38+'SAT-EXPL'!B38</f>
        <v>0</v>
      </c>
      <c r="C38" s="10">
        <f>'CLE-EXPL'!C38+'MAN-EXPL'!C38+'MH-EXPL'!C38+'SAT-EXPL'!C38</f>
        <v>0</v>
      </c>
      <c r="D38" s="10">
        <f>'CLE-EXPL'!D38+'MAN-EXPL'!D38+'MH-EXPL'!D38+'SAT-EXPL'!D38</f>
        <v>0</v>
      </c>
      <c r="E38" s="10">
        <f>'CLE-EXPL'!E38+'MAN-EXPL'!E38+'MH-EXPL'!E38+'SAT-EXPL'!E38</f>
        <v>0</v>
      </c>
      <c r="F38" s="10">
        <f>'CLE-EXPL'!F38+'MAN-EXPL'!F38+'MH-EXPL'!F38+'SAT-EXPL'!F38</f>
        <v>0</v>
      </c>
      <c r="G38" s="10">
        <f>'CLE-EXPL'!G38+'MAN-EXPL'!G38+'MH-EXPL'!G38+'SAT-EXPL'!G38</f>
        <v>0</v>
      </c>
      <c r="H38" s="10">
        <f>'CLE-EXPL'!H38+'MAN-EXPL'!H38+'MH-EXPL'!H38+'SAT-EXPL'!H38</f>
        <v>0</v>
      </c>
      <c r="I38" s="10">
        <f>'CLE-EXPL'!I38+'MAN-EXPL'!I38+'MH-EXPL'!I38+'SAT-EXPL'!I38</f>
        <v>0</v>
      </c>
      <c r="J38" s="10">
        <f t="shared" si="9"/>
        <v>0</v>
      </c>
      <c r="K38" s="10">
        <f>'CLE-EXPL'!K38+'MAN-EXPL'!K38+'MH-EXPL'!K38+'SAT-EXPL'!K38</f>
        <v>0</v>
      </c>
      <c r="L38" s="10">
        <f>'CLE-EXPL'!L38+'MAN-EXPL'!L38+'MH-EXPL'!L38+'SAT-EXPL'!L38</f>
        <v>0</v>
      </c>
      <c r="M38" s="10">
        <f>'CLE-EXPL'!M38+'MAN-EXPL'!M38+'MH-EXPL'!M38+'SAT-EXPL'!M38</f>
        <v>0</v>
      </c>
      <c r="N38" s="10">
        <f>'CLE-EXPL'!N38+'MAN-EXPL'!N38+'MH-EXPL'!N38+'SAT-EXPL'!N38</f>
        <v>0</v>
      </c>
      <c r="O38" s="10">
        <f>'CLE-EXPL'!O38+'MAN-EXPL'!O38+'MH-EXPL'!O38+'SAT-EXPL'!O38</f>
        <v>0</v>
      </c>
      <c r="P38" s="10">
        <f>'CLE-EXPL'!P38+'MAN-EXPL'!P38+'MH-EXPL'!P38+'SAT-EXPL'!P38</f>
        <v>0</v>
      </c>
      <c r="Q38" s="10">
        <f>'CLE-EXPL'!Q38+'MAN-EXPL'!Q38+'MH-EXPL'!Q38+'SAT-EXPL'!Q38</f>
        <v>0</v>
      </c>
      <c r="R38" s="10">
        <f>'CLE-EXPL'!R38+'MAN-EXPL'!R38+'MH-EXPL'!R38+'SAT-EXPL'!R38</f>
        <v>0</v>
      </c>
      <c r="S38" s="10">
        <f>'CLE-EXPL'!S38+'MAN-EXPL'!S38+'MH-EXPL'!S38+'SAT-EXPL'!S38</f>
        <v>0</v>
      </c>
      <c r="T38" s="10">
        <f>'CLE-EXPL'!T38+'MAN-EXPL'!T38+'MH-EXPL'!T38+'SAT-EXPL'!T38</f>
        <v>1</v>
      </c>
      <c r="U38" s="10">
        <f>'CLE-EXPL'!U38+'MAN-EXPL'!U38+'MH-EXPL'!U38+'SAT-EXPL'!U38</f>
        <v>0</v>
      </c>
      <c r="V38" s="10">
        <f>'CLE-EXPL'!V38+'MAN-EXPL'!V38+'MH-EXPL'!V38+'SAT-EXPL'!V38</f>
        <v>0</v>
      </c>
      <c r="W38" s="10">
        <f t="shared" si="10"/>
        <v>1</v>
      </c>
      <c r="X38" s="10">
        <f>'CLE-EXPL'!X38+'MAN-EXPL'!X38+'MH-EXPL'!X38+'SAT-EXPL'!X38</f>
        <v>0</v>
      </c>
      <c r="Y38" s="10">
        <f>'CLE-EXPL'!Y38+'MAN-EXPL'!Y38+'MH-EXPL'!Y38+'SAT-EXPL'!Y38</f>
        <v>0</v>
      </c>
      <c r="Z38" s="10">
        <f t="shared" si="11"/>
        <v>0</v>
      </c>
      <c r="AB38" s="58" t="s">
        <v>89</v>
      </c>
      <c r="AC38" s="19">
        <f t="shared" si="12"/>
        <v>0</v>
      </c>
      <c r="AD38" s="19">
        <f t="shared" si="12"/>
        <v>0</v>
      </c>
      <c r="AE38" s="19">
        <f t="shared" si="13"/>
        <v>0</v>
      </c>
      <c r="AF38" s="19">
        <f t="shared" si="14"/>
        <v>1</v>
      </c>
      <c r="AG38" s="19">
        <f t="shared" si="15"/>
        <v>0</v>
      </c>
    </row>
    <row r="39" spans="1:33" x14ac:dyDescent="0.25">
      <c r="A39" s="58" t="s">
        <v>32</v>
      </c>
      <c r="B39" s="10">
        <f>'CLE-EXPL'!B39+'MAN-EXPL'!B39+'MH-EXPL'!B39+'SAT-EXPL'!B39</f>
        <v>223</v>
      </c>
      <c r="C39" s="10">
        <f>'CLE-EXPL'!C39+'MAN-EXPL'!C39+'MH-EXPL'!C39+'SAT-EXPL'!C39</f>
        <v>76</v>
      </c>
      <c r="D39" s="10">
        <f>'CLE-EXPL'!D39+'MAN-EXPL'!D39+'MH-EXPL'!D39+'SAT-EXPL'!D39</f>
        <v>40</v>
      </c>
      <c r="E39" s="10">
        <f>'CLE-EXPL'!E39+'MAN-EXPL'!E39+'MH-EXPL'!E39+'SAT-EXPL'!E39</f>
        <v>26</v>
      </c>
      <c r="F39" s="10">
        <f>'CLE-EXPL'!F39+'MAN-EXPL'!F39+'MH-EXPL'!F39+'SAT-EXPL'!F39</f>
        <v>19</v>
      </c>
      <c r="G39" s="10">
        <f>'CLE-EXPL'!G39+'MAN-EXPL'!G39+'MH-EXPL'!G39+'SAT-EXPL'!G39</f>
        <v>12</v>
      </c>
      <c r="H39" s="10">
        <f>'CLE-EXPL'!H39+'MAN-EXPL'!H39+'MH-EXPL'!H39+'SAT-EXPL'!H39</f>
        <v>6</v>
      </c>
      <c r="I39" s="10">
        <f>'CLE-EXPL'!I39+'MAN-EXPL'!I39+'MH-EXPL'!I39+'SAT-EXPL'!I39</f>
        <v>8</v>
      </c>
      <c r="J39" s="10">
        <f t="shared" ref="J39:J42" si="16">SUM(D39:I39)</f>
        <v>111</v>
      </c>
      <c r="K39" s="10">
        <f>'CLE-EXPL'!K39+'MAN-EXPL'!K39+'MH-EXPL'!K39+'SAT-EXPL'!K39</f>
        <v>7</v>
      </c>
      <c r="L39" s="10">
        <f>'CLE-EXPL'!L39+'MAN-EXPL'!L39+'MH-EXPL'!L39+'SAT-EXPL'!L39</f>
        <v>1</v>
      </c>
      <c r="M39" s="10">
        <f>'CLE-EXPL'!M39+'MAN-EXPL'!M39+'MH-EXPL'!M39+'SAT-EXPL'!M39</f>
        <v>5</v>
      </c>
      <c r="N39" s="10">
        <f>'CLE-EXPL'!N39+'MAN-EXPL'!N39+'MH-EXPL'!N39+'SAT-EXPL'!N39</f>
        <v>2</v>
      </c>
      <c r="O39" s="10">
        <f>'CLE-EXPL'!O39+'MAN-EXPL'!O39+'MH-EXPL'!O39+'SAT-EXPL'!O39</f>
        <v>0</v>
      </c>
      <c r="P39" s="10">
        <f>'CLE-EXPL'!P39+'MAN-EXPL'!P39+'MH-EXPL'!P39+'SAT-EXPL'!P39</f>
        <v>2</v>
      </c>
      <c r="Q39" s="10">
        <f>'CLE-EXPL'!Q39+'MAN-EXPL'!Q39+'MH-EXPL'!Q39+'SAT-EXPL'!Q39</f>
        <v>2</v>
      </c>
      <c r="R39" s="10">
        <f>'CLE-EXPL'!R39+'MAN-EXPL'!R39+'MH-EXPL'!R39+'SAT-EXPL'!R39</f>
        <v>1</v>
      </c>
      <c r="S39" s="10">
        <f>'CLE-EXPL'!S39+'MAN-EXPL'!S39+'MH-EXPL'!S39+'SAT-EXPL'!S39</f>
        <v>4</v>
      </c>
      <c r="T39" s="10">
        <f>'CLE-EXPL'!T39+'MAN-EXPL'!T39+'MH-EXPL'!T39+'SAT-EXPL'!T39</f>
        <v>0</v>
      </c>
      <c r="U39" s="10">
        <f>'CLE-EXPL'!U39+'MAN-EXPL'!U39+'MH-EXPL'!U39+'SAT-EXPL'!U39</f>
        <v>3</v>
      </c>
      <c r="V39" s="10">
        <f>'CLE-EXPL'!V39+'MAN-EXPL'!V39+'MH-EXPL'!V39+'SAT-EXPL'!V39</f>
        <v>0</v>
      </c>
      <c r="W39" s="10">
        <f t="shared" si="10"/>
        <v>27</v>
      </c>
      <c r="X39" s="10">
        <f>'CLE-EXPL'!X39+'MAN-EXPL'!X39+'MH-EXPL'!X39+'SAT-EXPL'!X39</f>
        <v>3</v>
      </c>
      <c r="Y39" s="10">
        <f>'CLE-EXPL'!Y39+'MAN-EXPL'!Y39+'MH-EXPL'!Y39+'SAT-EXPL'!Y39</f>
        <v>1</v>
      </c>
      <c r="Z39" s="10">
        <f t="shared" si="11"/>
        <v>4</v>
      </c>
      <c r="AB39" s="58" t="s">
        <v>32</v>
      </c>
      <c r="AC39" s="19">
        <f t="shared" si="12"/>
        <v>0.50566893424036286</v>
      </c>
      <c r="AD39" s="19">
        <f t="shared" si="12"/>
        <v>0.17233560090702948</v>
      </c>
      <c r="AE39" s="19">
        <f t="shared" si="13"/>
        <v>0.25170068027210885</v>
      </c>
      <c r="AF39" s="19">
        <f t="shared" si="14"/>
        <v>6.1224489795918366E-2</v>
      </c>
      <c r="AG39" s="19">
        <f t="shared" si="15"/>
        <v>9.0702947845804991E-3</v>
      </c>
    </row>
    <row r="40" spans="1:33" x14ac:dyDescent="0.25">
      <c r="A40" s="58" t="s">
        <v>90</v>
      </c>
      <c r="B40" s="10">
        <f>'CLE-EXPL'!B40+'MAN-EXPL'!B40+'MH-EXPL'!B40+'SAT-EXPL'!B40</f>
        <v>2</v>
      </c>
      <c r="C40" s="10">
        <f>'CLE-EXPL'!C40+'MAN-EXPL'!C40+'MH-EXPL'!C40+'SAT-EXPL'!C40</f>
        <v>0</v>
      </c>
      <c r="D40" s="10">
        <f>'CLE-EXPL'!D40+'MAN-EXPL'!D40+'MH-EXPL'!D40+'SAT-EXPL'!D40</f>
        <v>0</v>
      </c>
      <c r="E40" s="10">
        <f>'CLE-EXPL'!E40+'MAN-EXPL'!E40+'MH-EXPL'!E40+'SAT-EXPL'!E40</f>
        <v>0</v>
      </c>
      <c r="F40" s="10">
        <f>'CLE-EXPL'!F40+'MAN-EXPL'!F40+'MH-EXPL'!F40+'SAT-EXPL'!F40</f>
        <v>0</v>
      </c>
      <c r="G40" s="10">
        <f>'CLE-EXPL'!G40+'MAN-EXPL'!G40+'MH-EXPL'!G40+'SAT-EXPL'!G40</f>
        <v>0</v>
      </c>
      <c r="H40" s="10">
        <f>'CLE-EXPL'!H40+'MAN-EXPL'!H40+'MH-EXPL'!H40+'SAT-EXPL'!H40</f>
        <v>0</v>
      </c>
      <c r="I40" s="10">
        <f>'CLE-EXPL'!I40+'MAN-EXPL'!I40+'MH-EXPL'!I40+'SAT-EXPL'!I40</f>
        <v>0</v>
      </c>
      <c r="J40" s="10">
        <f t="shared" si="16"/>
        <v>0</v>
      </c>
      <c r="K40" s="10">
        <f>'CLE-EXPL'!K40+'MAN-EXPL'!K40+'MH-EXPL'!K40+'SAT-EXPL'!K40</f>
        <v>0</v>
      </c>
      <c r="L40" s="10">
        <f>'CLE-EXPL'!L40+'MAN-EXPL'!L40+'MH-EXPL'!L40+'SAT-EXPL'!L40</f>
        <v>0</v>
      </c>
      <c r="M40" s="10">
        <f>'CLE-EXPL'!M40+'MAN-EXPL'!M40+'MH-EXPL'!M40+'SAT-EXPL'!M40</f>
        <v>0</v>
      </c>
      <c r="N40" s="10">
        <f>'CLE-EXPL'!N40+'MAN-EXPL'!N40+'MH-EXPL'!N40+'SAT-EXPL'!N40</f>
        <v>0</v>
      </c>
      <c r="O40" s="10">
        <f>'CLE-EXPL'!O40+'MAN-EXPL'!O40+'MH-EXPL'!O40+'SAT-EXPL'!O40</f>
        <v>0</v>
      </c>
      <c r="P40" s="10">
        <f>'CLE-EXPL'!P40+'MAN-EXPL'!P40+'MH-EXPL'!P40+'SAT-EXPL'!P40</f>
        <v>0</v>
      </c>
      <c r="Q40" s="10">
        <f>'CLE-EXPL'!Q40+'MAN-EXPL'!Q40+'MH-EXPL'!Q40+'SAT-EXPL'!Q40</f>
        <v>0</v>
      </c>
      <c r="R40" s="10">
        <f>'CLE-EXPL'!R40+'MAN-EXPL'!R40+'MH-EXPL'!R40+'SAT-EXPL'!R40</f>
        <v>0</v>
      </c>
      <c r="S40" s="10">
        <f>'CLE-EXPL'!S40+'MAN-EXPL'!S40+'MH-EXPL'!S40+'SAT-EXPL'!S40</f>
        <v>0</v>
      </c>
      <c r="T40" s="10">
        <f>'CLE-EXPL'!T40+'MAN-EXPL'!T40+'MH-EXPL'!T40+'SAT-EXPL'!T40</f>
        <v>0</v>
      </c>
      <c r="U40" s="10">
        <f>'CLE-EXPL'!U40+'MAN-EXPL'!U40+'MH-EXPL'!U40+'SAT-EXPL'!U40</f>
        <v>0</v>
      </c>
      <c r="V40" s="10">
        <f>'CLE-EXPL'!V40+'MAN-EXPL'!V40+'MH-EXPL'!V40+'SAT-EXPL'!V40</f>
        <v>0</v>
      </c>
      <c r="W40" s="10">
        <f t="shared" si="10"/>
        <v>0</v>
      </c>
      <c r="X40" s="10">
        <f>'CLE-EXPL'!X40+'MAN-EXPL'!X40+'MH-EXPL'!X40+'SAT-EXPL'!X40</f>
        <v>0</v>
      </c>
      <c r="Y40" s="10">
        <f>'CLE-EXPL'!Y40+'MAN-EXPL'!Y40+'MH-EXPL'!Y40+'SAT-EXPL'!Y40</f>
        <v>0</v>
      </c>
      <c r="Z40" s="10">
        <f t="shared" si="11"/>
        <v>0</v>
      </c>
      <c r="AB40" s="58" t="s">
        <v>90</v>
      </c>
      <c r="AC40" s="19">
        <f t="shared" si="12"/>
        <v>1</v>
      </c>
      <c r="AD40" s="19">
        <f t="shared" si="12"/>
        <v>0</v>
      </c>
      <c r="AE40" s="19">
        <f t="shared" si="13"/>
        <v>0</v>
      </c>
      <c r="AF40" s="19">
        <f t="shared" si="14"/>
        <v>0</v>
      </c>
      <c r="AG40" s="19">
        <f t="shared" si="15"/>
        <v>0</v>
      </c>
    </row>
    <row r="41" spans="1:33" x14ac:dyDescent="0.25">
      <c r="A41" s="58" t="s">
        <v>91</v>
      </c>
      <c r="B41" s="10">
        <f>'CLE-EXPL'!B41+'MAN-EXPL'!B41+'MH-EXPL'!B41+'SAT-EXPL'!B41</f>
        <v>0</v>
      </c>
      <c r="C41" s="10">
        <f>'CLE-EXPL'!C41+'MAN-EXPL'!C41+'MH-EXPL'!C41+'SAT-EXPL'!C41</f>
        <v>0</v>
      </c>
      <c r="D41" s="10">
        <f>'CLE-EXPL'!D41+'MAN-EXPL'!D41+'MH-EXPL'!D41+'SAT-EXPL'!D41</f>
        <v>0</v>
      </c>
      <c r="E41" s="10">
        <f>'CLE-EXPL'!E41+'MAN-EXPL'!E41+'MH-EXPL'!E41+'SAT-EXPL'!E41</f>
        <v>0</v>
      </c>
      <c r="F41" s="10">
        <f>'CLE-EXPL'!F41+'MAN-EXPL'!F41+'MH-EXPL'!F41+'SAT-EXPL'!F41</f>
        <v>0</v>
      </c>
      <c r="G41" s="10">
        <f>'CLE-EXPL'!G41+'MAN-EXPL'!G41+'MH-EXPL'!G41+'SAT-EXPL'!G41</f>
        <v>0</v>
      </c>
      <c r="H41" s="10">
        <f>'CLE-EXPL'!H41+'MAN-EXPL'!H41+'MH-EXPL'!H41+'SAT-EXPL'!H41</f>
        <v>0</v>
      </c>
      <c r="I41" s="10">
        <f>'CLE-EXPL'!I41+'MAN-EXPL'!I41+'MH-EXPL'!I41+'SAT-EXPL'!I41</f>
        <v>0</v>
      </c>
      <c r="J41" s="10">
        <f t="shared" si="16"/>
        <v>0</v>
      </c>
      <c r="K41" s="10">
        <f>'CLE-EXPL'!K41+'MAN-EXPL'!K41+'MH-EXPL'!K41+'SAT-EXPL'!K41</f>
        <v>0</v>
      </c>
      <c r="L41" s="10">
        <f>'CLE-EXPL'!L41+'MAN-EXPL'!L41+'MH-EXPL'!L41+'SAT-EXPL'!L41</f>
        <v>0</v>
      </c>
      <c r="M41" s="10">
        <f>'CLE-EXPL'!M41+'MAN-EXPL'!M41+'MH-EXPL'!M41+'SAT-EXPL'!M41</f>
        <v>0</v>
      </c>
      <c r="N41" s="10">
        <f>'CLE-EXPL'!N41+'MAN-EXPL'!N41+'MH-EXPL'!N41+'SAT-EXPL'!N41</f>
        <v>0</v>
      </c>
      <c r="O41" s="10">
        <f>'CLE-EXPL'!O41+'MAN-EXPL'!O41+'MH-EXPL'!O41+'SAT-EXPL'!O41</f>
        <v>0</v>
      </c>
      <c r="P41" s="10">
        <f>'CLE-EXPL'!P41+'MAN-EXPL'!P41+'MH-EXPL'!P41+'SAT-EXPL'!P41</f>
        <v>0</v>
      </c>
      <c r="Q41" s="10">
        <f>'CLE-EXPL'!Q41+'MAN-EXPL'!Q41+'MH-EXPL'!Q41+'SAT-EXPL'!Q41</f>
        <v>0</v>
      </c>
      <c r="R41" s="10">
        <f>'CLE-EXPL'!R41+'MAN-EXPL'!R41+'MH-EXPL'!R41+'SAT-EXPL'!R41</f>
        <v>0</v>
      </c>
      <c r="S41" s="10">
        <f>'CLE-EXPL'!S41+'MAN-EXPL'!S41+'MH-EXPL'!S41+'SAT-EXPL'!S41</f>
        <v>0</v>
      </c>
      <c r="T41" s="10">
        <f>'CLE-EXPL'!T41+'MAN-EXPL'!T41+'MH-EXPL'!T41+'SAT-EXPL'!T41</f>
        <v>0</v>
      </c>
      <c r="U41" s="10">
        <f>'CLE-EXPL'!U41+'MAN-EXPL'!U41+'MH-EXPL'!U41+'SAT-EXPL'!U41</f>
        <v>0</v>
      </c>
      <c r="V41" s="10">
        <f>'CLE-EXPL'!V41+'MAN-EXPL'!V41+'MH-EXPL'!V41+'SAT-EXPL'!V41</f>
        <v>0</v>
      </c>
      <c r="W41" s="10">
        <f t="shared" si="10"/>
        <v>0</v>
      </c>
      <c r="X41" s="10">
        <f>'CLE-EXPL'!X41+'MAN-EXPL'!X41+'MH-EXPL'!X41+'SAT-EXPL'!X41</f>
        <v>0</v>
      </c>
      <c r="Y41" s="10">
        <f>'CLE-EXPL'!Y41+'MAN-EXPL'!Y41+'MH-EXPL'!Y41+'SAT-EXPL'!Y41</f>
        <v>0</v>
      </c>
      <c r="Z41" s="10">
        <f t="shared" si="11"/>
        <v>0</v>
      </c>
      <c r="AB41" s="58" t="s">
        <v>91</v>
      </c>
      <c r="AC41" s="19" t="str">
        <f t="shared" si="12"/>
        <v/>
      </c>
      <c r="AD41" s="19" t="str">
        <f t="shared" si="12"/>
        <v/>
      </c>
      <c r="AE41" s="19" t="str">
        <f t="shared" si="13"/>
        <v/>
      </c>
      <c r="AF41" s="19" t="str">
        <f t="shared" si="14"/>
        <v/>
      </c>
      <c r="AG41" s="19" t="str">
        <f t="shared" si="15"/>
        <v/>
      </c>
    </row>
    <row r="42" spans="1:33" x14ac:dyDescent="0.25">
      <c r="A42" s="52" t="s">
        <v>33</v>
      </c>
      <c r="B42" s="53">
        <f>'CLE-EXPL'!B42+'MAN-EXPL'!B42+'MH-EXPL'!B42+'SAT-EXPL'!B42</f>
        <v>25867</v>
      </c>
      <c r="C42" s="53">
        <f>'CLE-EXPL'!C42+'MAN-EXPL'!C42+'MH-EXPL'!C42+'SAT-EXPL'!C42</f>
        <v>1517</v>
      </c>
      <c r="D42" s="53">
        <f>'CLE-EXPL'!D42+'MAN-EXPL'!D42+'MH-EXPL'!D42+'SAT-EXPL'!D42</f>
        <v>425</v>
      </c>
      <c r="E42" s="53">
        <f>'CLE-EXPL'!E42+'MAN-EXPL'!E42+'MH-EXPL'!E42+'SAT-EXPL'!E42</f>
        <v>218</v>
      </c>
      <c r="F42" s="53">
        <f>'CLE-EXPL'!F42+'MAN-EXPL'!F42+'MH-EXPL'!F42+'SAT-EXPL'!F42</f>
        <v>157</v>
      </c>
      <c r="G42" s="53">
        <f>'CLE-EXPL'!G42+'MAN-EXPL'!G42+'MH-EXPL'!G42+'SAT-EXPL'!G42</f>
        <v>83</v>
      </c>
      <c r="H42" s="53">
        <f>'CLE-EXPL'!H42+'MAN-EXPL'!H42+'MH-EXPL'!H42+'SAT-EXPL'!H42</f>
        <v>58</v>
      </c>
      <c r="I42" s="53">
        <f>'CLE-EXPL'!I42+'MAN-EXPL'!I42+'MH-EXPL'!I42+'SAT-EXPL'!I42</f>
        <v>47</v>
      </c>
      <c r="J42" s="61">
        <f t="shared" si="16"/>
        <v>988</v>
      </c>
      <c r="K42" s="53">
        <f>'CLE-EXPL'!K42+'MAN-EXPL'!K42+'MH-EXPL'!K42+'SAT-EXPL'!K42</f>
        <v>40</v>
      </c>
      <c r="L42" s="53">
        <f>'CLE-EXPL'!L42+'MAN-EXPL'!L42+'MH-EXPL'!L42+'SAT-EXPL'!L42</f>
        <v>27</v>
      </c>
      <c r="M42" s="53">
        <f>'CLE-EXPL'!M42+'MAN-EXPL'!M42+'MH-EXPL'!M42+'SAT-EXPL'!M42</f>
        <v>19</v>
      </c>
      <c r="N42" s="53">
        <f>'CLE-EXPL'!N42+'MAN-EXPL'!N42+'MH-EXPL'!N42+'SAT-EXPL'!N42</f>
        <v>13</v>
      </c>
      <c r="O42" s="53">
        <f>'CLE-EXPL'!O42+'MAN-EXPL'!O42+'MH-EXPL'!O42+'SAT-EXPL'!O42</f>
        <v>13</v>
      </c>
      <c r="P42" s="53">
        <f>'CLE-EXPL'!P42+'MAN-EXPL'!P42+'MH-EXPL'!P42+'SAT-EXPL'!P42</f>
        <v>14</v>
      </c>
      <c r="Q42" s="53">
        <f>'CLE-EXPL'!Q42+'MAN-EXPL'!Q42+'MH-EXPL'!Q42+'SAT-EXPL'!Q42</f>
        <v>10</v>
      </c>
      <c r="R42" s="53">
        <f>'CLE-EXPL'!R42+'MAN-EXPL'!R42+'MH-EXPL'!R42+'SAT-EXPL'!R42</f>
        <v>11</v>
      </c>
      <c r="S42" s="53">
        <f>'CLE-EXPL'!S42+'MAN-EXPL'!S42+'MH-EXPL'!S42+'SAT-EXPL'!S42</f>
        <v>8</v>
      </c>
      <c r="T42" s="53">
        <f>'CLE-EXPL'!T42+'MAN-EXPL'!T42+'MH-EXPL'!T42+'SAT-EXPL'!T42</f>
        <v>8</v>
      </c>
      <c r="U42" s="53">
        <f>'CLE-EXPL'!U42+'MAN-EXPL'!U42+'MH-EXPL'!U42+'SAT-EXPL'!U42</f>
        <v>9</v>
      </c>
      <c r="V42" s="53">
        <f>'CLE-EXPL'!V42+'MAN-EXPL'!V42+'MH-EXPL'!V42+'SAT-EXPL'!V42</f>
        <v>5</v>
      </c>
      <c r="W42" s="61">
        <f t="shared" si="10"/>
        <v>177</v>
      </c>
      <c r="X42" s="53">
        <f>'CLE-EXPL'!X42+'MAN-EXPL'!X42+'MH-EXPL'!X42+'SAT-EXPL'!X42</f>
        <v>30</v>
      </c>
      <c r="Y42" s="53">
        <f>'CLE-EXPL'!Y42+'MAN-EXPL'!Y42+'MH-EXPL'!Y42+'SAT-EXPL'!Y42</f>
        <v>21</v>
      </c>
      <c r="Z42" s="61">
        <f t="shared" si="11"/>
        <v>51</v>
      </c>
      <c r="AB42" s="52" t="s">
        <v>33</v>
      </c>
      <c r="AC42" s="65">
        <f t="shared" si="12"/>
        <v>0.90444055944055946</v>
      </c>
      <c r="AD42" s="65">
        <f t="shared" si="12"/>
        <v>5.3041958041958041E-2</v>
      </c>
      <c r="AE42" s="134">
        <f t="shared" si="13"/>
        <v>3.4545454545454546E-2</v>
      </c>
      <c r="AF42" s="134">
        <f t="shared" si="14"/>
        <v>6.1888111888111887E-3</v>
      </c>
      <c r="AG42" s="134">
        <f t="shared" si="15"/>
        <v>1.7832167832167833E-3</v>
      </c>
    </row>
    <row r="45" spans="1:33" x14ac:dyDescent="0.25">
      <c r="A45" s="72"/>
      <c r="B45" s="72"/>
      <c r="C45" s="73" t="s">
        <v>105</v>
      </c>
      <c r="D45" s="74"/>
      <c r="E45" s="74"/>
      <c r="F45" s="74"/>
      <c r="G45" s="74"/>
      <c r="H45" s="74"/>
      <c r="I45" s="74"/>
      <c r="J45" s="74" t="s">
        <v>106</v>
      </c>
    </row>
    <row r="46" spans="1:33" x14ac:dyDescent="0.25">
      <c r="A46" s="215" t="s">
        <v>4</v>
      </c>
      <c r="B46" s="75" t="s">
        <v>107</v>
      </c>
      <c r="C46" s="19">
        <v>6.3884105596622609E-2</v>
      </c>
      <c r="D46" s="76"/>
      <c r="E46" s="76"/>
      <c r="F46" s="76"/>
      <c r="G46" s="76"/>
      <c r="H46" s="76"/>
      <c r="I46" s="76"/>
      <c r="J46" s="77">
        <v>0.59610027855153203</v>
      </c>
    </row>
    <row r="47" spans="1:33" x14ac:dyDescent="0.25">
      <c r="A47" s="215"/>
      <c r="B47" s="78" t="s">
        <v>108</v>
      </c>
      <c r="C47" s="19">
        <v>6.9473012025922862E-2</v>
      </c>
      <c r="D47" s="77"/>
      <c r="E47" s="77"/>
      <c r="F47" s="77"/>
      <c r="G47" s="77"/>
      <c r="H47" s="77"/>
      <c r="I47" s="77"/>
      <c r="J47" s="77">
        <v>0.13370473537604458</v>
      </c>
    </row>
    <row r="48" spans="1:33" x14ac:dyDescent="0.25">
      <c r="A48" s="215"/>
      <c r="B48" s="75" t="s">
        <v>93</v>
      </c>
      <c r="C48" s="19">
        <v>0.26045235523020471</v>
      </c>
      <c r="D48" s="77"/>
      <c r="E48" s="77"/>
      <c r="F48" s="77"/>
      <c r="G48" s="77"/>
      <c r="H48" s="77"/>
      <c r="I48" s="77"/>
      <c r="J48" s="77">
        <v>0.17827298050139276</v>
      </c>
    </row>
    <row r="49" spans="1:10" x14ac:dyDescent="0.25">
      <c r="A49" s="215"/>
      <c r="B49" s="75" t="s">
        <v>109</v>
      </c>
      <c r="C49" s="77">
        <v>0.28822322325035404</v>
      </c>
      <c r="D49" s="77"/>
      <c r="E49" s="77"/>
      <c r="F49" s="77"/>
      <c r="G49" s="77"/>
      <c r="H49" s="77"/>
      <c r="I49" s="77"/>
      <c r="J49" s="77">
        <v>6.313834726090993E-2</v>
      </c>
    </row>
    <row r="50" spans="1:10" x14ac:dyDescent="0.25">
      <c r="A50" s="215"/>
      <c r="B50" s="75" t="s">
        <v>95</v>
      </c>
      <c r="C50" s="77">
        <v>0.31796730389689587</v>
      </c>
      <c r="D50" s="77"/>
      <c r="E50" s="77"/>
      <c r="F50" s="77"/>
      <c r="G50" s="77"/>
      <c r="H50" s="77"/>
      <c r="I50" s="77"/>
      <c r="J50" s="77">
        <v>2.8783658310120707E-2</v>
      </c>
    </row>
    <row r="51" spans="1:10" x14ac:dyDescent="0.25">
      <c r="A51" s="215" t="s">
        <v>14</v>
      </c>
      <c r="B51" s="75" t="s">
        <v>107</v>
      </c>
      <c r="C51" s="29">
        <v>0.54287467246845411</v>
      </c>
      <c r="D51" s="29"/>
      <c r="E51" s="29"/>
      <c r="F51" s="29"/>
      <c r="G51" s="29"/>
      <c r="H51" s="29"/>
      <c r="I51" s="29"/>
      <c r="J51" s="77">
        <v>0.92741263734084334</v>
      </c>
    </row>
    <row r="52" spans="1:10" x14ac:dyDescent="0.25">
      <c r="A52" s="215"/>
      <c r="B52" s="78" t="s">
        <v>108</v>
      </c>
      <c r="C52" s="29">
        <v>0.15531961696962393</v>
      </c>
      <c r="D52" s="29"/>
      <c r="E52" s="29"/>
      <c r="F52" s="29"/>
      <c r="G52" s="29"/>
      <c r="H52" s="29"/>
      <c r="I52" s="29"/>
      <c r="J52" s="77">
        <v>4.6447979056760937E-2</v>
      </c>
    </row>
    <row r="53" spans="1:10" x14ac:dyDescent="0.25">
      <c r="A53" s="215"/>
      <c r="B53" s="75" t="s">
        <v>93</v>
      </c>
      <c r="C53" s="29">
        <v>0.2044320158260772</v>
      </c>
      <c r="D53" s="29"/>
      <c r="E53" s="29"/>
      <c r="F53" s="29"/>
      <c r="G53" s="29"/>
      <c r="H53" s="29"/>
      <c r="I53" s="29"/>
      <c r="J53" s="77">
        <v>2.3402483043116099E-2</v>
      </c>
    </row>
    <row r="54" spans="1:10" x14ac:dyDescent="0.25">
      <c r="A54" s="215"/>
      <c r="B54" s="75" t="s">
        <v>109</v>
      </c>
      <c r="C54" s="29">
        <v>6.4901920167319549E-2</v>
      </c>
      <c r="D54" s="29"/>
      <c r="E54" s="29"/>
      <c r="F54" s="29"/>
      <c r="G54" s="29"/>
      <c r="H54" s="29"/>
      <c r="I54" s="29"/>
      <c r="J54" s="77">
        <v>2.3005830788148029E-3</v>
      </c>
    </row>
    <row r="55" spans="1:10" x14ac:dyDescent="0.25">
      <c r="A55" s="215"/>
      <c r="B55" s="75" t="s">
        <v>95</v>
      </c>
      <c r="C55" s="29">
        <v>3.2471774568525236E-2</v>
      </c>
      <c r="D55" s="29"/>
      <c r="E55" s="29"/>
      <c r="F55" s="29"/>
      <c r="G55" s="29"/>
      <c r="H55" s="29"/>
      <c r="I55" s="29"/>
      <c r="J55" s="77">
        <v>4.3631748046487647E-4</v>
      </c>
    </row>
    <row r="56" spans="1:10" x14ac:dyDescent="0.25">
      <c r="A56" s="215" t="s">
        <v>19</v>
      </c>
      <c r="B56" s="142" t="s">
        <v>107</v>
      </c>
      <c r="C56" s="29">
        <v>0.2758224939395475</v>
      </c>
      <c r="D56" s="29"/>
      <c r="E56" s="29"/>
      <c r="F56" s="29"/>
      <c r="G56" s="29"/>
      <c r="H56" s="29"/>
      <c r="I56" s="29"/>
      <c r="J56" s="29">
        <v>0.87034949267192785</v>
      </c>
    </row>
    <row r="57" spans="1:10" x14ac:dyDescent="0.25">
      <c r="A57" s="215"/>
      <c r="B57" s="78" t="s">
        <v>108</v>
      </c>
      <c r="C57" s="29">
        <v>0.13645300549868328</v>
      </c>
      <c r="D57" s="29"/>
      <c r="E57" s="29"/>
      <c r="F57" s="29"/>
      <c r="G57" s="29"/>
      <c r="H57" s="29"/>
      <c r="I57" s="29"/>
      <c r="J57" s="29">
        <v>6.5952649379932352E-2</v>
      </c>
    </row>
    <row r="58" spans="1:10" x14ac:dyDescent="0.25">
      <c r="A58" s="215"/>
      <c r="B58" s="142" t="s">
        <v>93</v>
      </c>
      <c r="C58" s="29">
        <v>0.27624378552805873</v>
      </c>
      <c r="D58" s="29"/>
      <c r="E58" s="29"/>
      <c r="F58" s="29"/>
      <c r="G58" s="29"/>
      <c r="H58" s="29"/>
      <c r="I58" s="29"/>
      <c r="J58" s="29">
        <v>4.9041713641488162E-2</v>
      </c>
    </row>
    <row r="59" spans="1:10" x14ac:dyDescent="0.25">
      <c r="A59" s="215"/>
      <c r="B59" s="142" t="s">
        <v>109</v>
      </c>
      <c r="C59" s="29">
        <v>0.20355035697515456</v>
      </c>
      <c r="D59" s="29"/>
      <c r="E59" s="29"/>
      <c r="F59" s="29"/>
      <c r="G59" s="29"/>
      <c r="H59" s="29"/>
      <c r="I59" s="29"/>
      <c r="J59" s="29">
        <v>1.1837655016910935E-2</v>
      </c>
    </row>
    <row r="60" spans="1:10" x14ac:dyDescent="0.25">
      <c r="A60" s="215"/>
      <c r="B60" s="142" t="s">
        <v>95</v>
      </c>
      <c r="C60" s="29">
        <v>0.10793035805855593</v>
      </c>
      <c r="D60" s="29"/>
      <c r="E60" s="29"/>
      <c r="F60" s="29"/>
      <c r="G60" s="29"/>
      <c r="H60" s="29"/>
      <c r="I60" s="29"/>
      <c r="J60" s="29">
        <v>2.8184892897406989E-3</v>
      </c>
    </row>
  </sheetData>
  <mergeCells count="6">
    <mergeCell ref="A56:A60"/>
    <mergeCell ref="A51:A55"/>
    <mergeCell ref="AB24:AC24"/>
    <mergeCell ref="A46:A50"/>
    <mergeCell ref="C3:D3"/>
    <mergeCell ref="AB3:AC3"/>
  </mergeCells>
  <hyperlinks>
    <hyperlink ref="C1" r:id="rId1" location="INDICE!A1"/>
  </hyperlinks>
  <pageMargins left="0.7" right="0.7" top="0.75" bottom="0.75" header="0.3" footer="0.3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A1" workbookViewId="0">
      <selection activeCell="B1" sqref="B1:C1"/>
    </sheetView>
  </sheetViews>
  <sheetFormatPr baseColWidth="10" defaultRowHeight="15" x14ac:dyDescent="0.25"/>
  <cols>
    <col min="1" max="1" width="18.7109375" customWidth="1"/>
    <col min="3" max="3" width="10" bestFit="1" customWidth="1"/>
    <col min="4" max="7" width="6.7109375" hidden="1" customWidth="1"/>
    <col min="8" max="9" width="7.140625" hidden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3" max="23" width="6.7109375" bestFit="1" customWidth="1"/>
    <col min="24" max="24" width="9.140625" hidden="1" customWidth="1"/>
    <col min="25" max="25" width="5.5703125" hidden="1" customWidth="1"/>
    <col min="28" max="28" width="23.7109375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112" t="s">
        <v>141</v>
      </c>
    </row>
    <row r="3" spans="1:33" x14ac:dyDescent="0.25">
      <c r="A3" s="216" t="s">
        <v>139</v>
      </c>
      <c r="B3" s="216"/>
      <c r="C3" s="216"/>
      <c r="D3" s="87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114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114" t="s">
        <v>94</v>
      </c>
      <c r="X4" s="51" t="s">
        <v>81</v>
      </c>
      <c r="Y4" s="51" t="s">
        <v>82</v>
      </c>
      <c r="Z4" s="114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58" t="s">
        <v>4</v>
      </c>
      <c r="B5" s="10">
        <v>161.14500000000001</v>
      </c>
      <c r="C5" s="10">
        <v>251.39</v>
      </c>
      <c r="D5" s="10">
        <v>146.37</v>
      </c>
      <c r="E5" s="10">
        <v>187.17</v>
      </c>
      <c r="F5" s="10">
        <v>134.09</v>
      </c>
      <c r="G5" s="10">
        <v>246.87</v>
      </c>
      <c r="H5" s="10">
        <v>63.75</v>
      </c>
      <c r="I5" s="10">
        <v>79.34</v>
      </c>
      <c r="J5" s="10">
        <f>SUM(D5:H5)</f>
        <v>778.25</v>
      </c>
      <c r="K5" s="10">
        <v>0</v>
      </c>
      <c r="L5" s="10">
        <v>95.52</v>
      </c>
      <c r="M5" s="10">
        <v>158.75</v>
      </c>
      <c r="N5" s="10">
        <v>114.23</v>
      </c>
      <c r="O5" s="10">
        <v>122.69</v>
      </c>
      <c r="P5" s="10">
        <v>136.08000000000001</v>
      </c>
      <c r="Q5" s="10">
        <v>70.88</v>
      </c>
      <c r="R5" s="10">
        <v>0</v>
      </c>
      <c r="S5" s="10">
        <v>0</v>
      </c>
      <c r="T5" s="10">
        <v>0</v>
      </c>
      <c r="U5" s="10">
        <v>91.95</v>
      </c>
      <c r="V5" s="10">
        <v>192.54</v>
      </c>
      <c r="W5" s="10">
        <f>SUM(K5:V5)</f>
        <v>982.64</v>
      </c>
      <c r="X5" s="10">
        <v>481.71</v>
      </c>
      <c r="Y5" s="10">
        <v>834.99</v>
      </c>
      <c r="Z5" s="10">
        <f>SUM(X5:Y5)</f>
        <v>1316.7</v>
      </c>
      <c r="AB5" s="58" t="s">
        <v>4</v>
      </c>
      <c r="AC5" s="19">
        <f>IFERROR(B5/SUM($B5+$C5+$J5+$W5+$Z5),"")</f>
        <v>4.6171698721392505E-2</v>
      </c>
      <c r="AD5" s="19">
        <f>IFERROR(C5/SUM($B5+$C5+$J5+$W5+$Z5),"")</f>
        <v>7.2028938791590558E-2</v>
      </c>
      <c r="AE5" s="19">
        <f>IFERROR(J5/SUM($B5+$C5+$J5+$W5+$Z5),"")</f>
        <v>0.22298628272626339</v>
      </c>
      <c r="AF5" s="19">
        <f>IFERROR(W5/SUM($B5+$C5+$J5+$W5+$Z5),"")</f>
        <v>0.28154865513412841</v>
      </c>
      <c r="AG5" s="19">
        <f>IFERROR(Z5/SUM($B5+$C5+$J5+$W5+$Z5),"")</f>
        <v>0.37726442462662513</v>
      </c>
    </row>
    <row r="6" spans="1:33" x14ac:dyDescent="0.25">
      <c r="A6" s="58" t="s">
        <v>43</v>
      </c>
      <c r="B6" s="10">
        <v>7.28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ref="J6:J17" si="0">SUM(D6:H6)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15" si="1">SUM(K6:V6)</f>
        <v>0</v>
      </c>
      <c r="X6" s="10">
        <v>0</v>
      </c>
      <c r="Y6" s="10">
        <v>0</v>
      </c>
      <c r="Z6" s="10">
        <f t="shared" ref="Z6:Z16" si="2">SUM(X6:Y6)</f>
        <v>0</v>
      </c>
      <c r="AB6" s="58" t="s">
        <v>43</v>
      </c>
      <c r="AC6" s="19">
        <f t="shared" ref="AC6:AD21" si="3">IFERROR(B6/SUM($B6+$C6+$J6+$W6+$Z6),"")</f>
        <v>1</v>
      </c>
      <c r="AD6" s="19">
        <f t="shared" si="3"/>
        <v>0</v>
      </c>
      <c r="AE6" s="19">
        <f t="shared" ref="AE6:AE21" si="4">IFERROR(J6/SUM($B6+$C6+$J6+$W6+$Z6),"")</f>
        <v>0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33" x14ac:dyDescent="0.25">
      <c r="A7" s="5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0</v>
      </c>
      <c r="X7" s="10">
        <v>0</v>
      </c>
      <c r="Y7" s="10">
        <v>0</v>
      </c>
      <c r="Z7" s="10">
        <f t="shared" si="2"/>
        <v>0</v>
      </c>
      <c r="AB7" s="58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33" x14ac:dyDescent="0.25">
      <c r="A8" s="58" t="s">
        <v>14</v>
      </c>
      <c r="B8" s="10">
        <v>17719.105000000101</v>
      </c>
      <c r="C8" s="10">
        <v>5595.31833333334</v>
      </c>
      <c r="D8" s="10">
        <v>2258.67</v>
      </c>
      <c r="E8" s="10">
        <v>1475.65</v>
      </c>
      <c r="F8" s="10">
        <v>1116.29</v>
      </c>
      <c r="G8" s="10">
        <v>771.63</v>
      </c>
      <c r="H8" s="10">
        <v>519.59</v>
      </c>
      <c r="I8" s="10">
        <v>495.98</v>
      </c>
      <c r="J8" s="10">
        <f t="shared" si="0"/>
        <v>6141.8300000000008</v>
      </c>
      <c r="K8" s="10">
        <v>414.87</v>
      </c>
      <c r="L8" s="10">
        <v>431.31</v>
      </c>
      <c r="M8" s="10">
        <v>52.82</v>
      </c>
      <c r="N8" s="10">
        <v>0</v>
      </c>
      <c r="O8" s="10">
        <v>188.85</v>
      </c>
      <c r="P8" s="10">
        <v>199.72</v>
      </c>
      <c r="Q8" s="10">
        <v>74.69</v>
      </c>
      <c r="R8" s="10">
        <v>154.07</v>
      </c>
      <c r="S8" s="10">
        <v>83.81</v>
      </c>
      <c r="T8" s="10">
        <v>0</v>
      </c>
      <c r="U8" s="10">
        <v>92.440000000000097</v>
      </c>
      <c r="V8" s="10">
        <v>0</v>
      </c>
      <c r="W8" s="10">
        <f t="shared" si="1"/>
        <v>1692.5800000000002</v>
      </c>
      <c r="X8" s="10">
        <v>583.17999999999995</v>
      </c>
      <c r="Y8" s="10">
        <v>755.44</v>
      </c>
      <c r="Z8" s="10">
        <f t="shared" si="2"/>
        <v>1338.62</v>
      </c>
      <c r="AB8" s="58" t="s">
        <v>14</v>
      </c>
      <c r="AC8" s="19">
        <f t="shared" si="3"/>
        <v>0.545413788461516</v>
      </c>
      <c r="AD8" s="19">
        <f t="shared" si="3"/>
        <v>0.17223013068840076</v>
      </c>
      <c r="AE8" s="19">
        <f t="shared" si="4"/>
        <v>0.18905236852462776</v>
      </c>
      <c r="AF8" s="19">
        <f t="shared" si="5"/>
        <v>5.2099497693263157E-2</v>
      </c>
      <c r="AG8" s="19">
        <f t="shared" si="6"/>
        <v>4.1204214632192225E-2</v>
      </c>
    </row>
    <row r="9" spans="1:33" x14ac:dyDescent="0.25">
      <c r="A9" s="58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0</v>
      </c>
      <c r="X9" s="10">
        <v>0</v>
      </c>
      <c r="Y9" s="10">
        <v>0</v>
      </c>
      <c r="Z9" s="10">
        <f t="shared" si="2"/>
        <v>0</v>
      </c>
      <c r="AB9" s="58" t="s">
        <v>36</v>
      </c>
      <c r="AC9" s="19" t="str">
        <f t="shared" si="3"/>
        <v/>
      </c>
      <c r="AD9" s="19" t="str">
        <f t="shared" si="3"/>
        <v/>
      </c>
      <c r="AE9" s="19" t="str">
        <f t="shared" si="4"/>
        <v/>
      </c>
      <c r="AF9" s="19" t="str">
        <f t="shared" si="5"/>
        <v/>
      </c>
      <c r="AG9" s="19" t="str">
        <f t="shared" si="6"/>
        <v/>
      </c>
    </row>
    <row r="10" spans="1:33" x14ac:dyDescent="0.25">
      <c r="A10" s="58" t="s">
        <v>39</v>
      </c>
      <c r="B10" s="10">
        <v>11.68</v>
      </c>
      <c r="C10" s="10">
        <v>6.8</v>
      </c>
      <c r="D10" s="10">
        <v>0</v>
      </c>
      <c r="E10" s="10">
        <v>0</v>
      </c>
      <c r="F10" s="10">
        <v>23.54</v>
      </c>
      <c r="G10" s="10">
        <v>56.97</v>
      </c>
      <c r="H10" s="10">
        <v>0</v>
      </c>
      <c r="I10" s="10">
        <v>0</v>
      </c>
      <c r="J10" s="10">
        <f t="shared" si="0"/>
        <v>80.509999999999991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0</v>
      </c>
      <c r="X10" s="10">
        <v>0</v>
      </c>
      <c r="Y10" s="10">
        <v>0</v>
      </c>
      <c r="Z10" s="10">
        <f t="shared" si="2"/>
        <v>0</v>
      </c>
      <c r="AB10" s="58" t="s">
        <v>39</v>
      </c>
      <c r="AC10" s="19">
        <f t="shared" si="3"/>
        <v>0.11799171633498333</v>
      </c>
      <c r="AD10" s="19">
        <f t="shared" si="3"/>
        <v>6.8693807455298517E-2</v>
      </c>
      <c r="AE10" s="19">
        <f t="shared" si="4"/>
        <v>0.81331447620971808</v>
      </c>
      <c r="AF10" s="19">
        <f t="shared" si="5"/>
        <v>0</v>
      </c>
      <c r="AG10" s="19">
        <f t="shared" si="6"/>
        <v>0</v>
      </c>
    </row>
    <row r="11" spans="1:33" x14ac:dyDescent="0.25">
      <c r="A11" s="58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10">
        <v>0</v>
      </c>
      <c r="Y11" s="10">
        <v>0</v>
      </c>
      <c r="Z11" s="10">
        <f t="shared" si="2"/>
        <v>0</v>
      </c>
      <c r="AB11" s="58" t="s">
        <v>18</v>
      </c>
      <c r="AC11" s="19" t="str">
        <f t="shared" si="3"/>
        <v/>
      </c>
      <c r="AD11" s="19" t="str">
        <f t="shared" si="3"/>
        <v/>
      </c>
      <c r="AE11" s="19" t="str">
        <f t="shared" si="4"/>
        <v/>
      </c>
      <c r="AF11" s="19" t="str">
        <f t="shared" si="5"/>
        <v/>
      </c>
      <c r="AG11" s="19" t="str">
        <f t="shared" si="6"/>
        <v/>
      </c>
    </row>
    <row r="12" spans="1:33" x14ac:dyDescent="0.25">
      <c r="A12" s="58" t="s">
        <v>19</v>
      </c>
      <c r="B12" s="10">
        <v>1328.4783333333301</v>
      </c>
      <c r="C12" s="10">
        <v>673.15</v>
      </c>
      <c r="D12" s="10">
        <v>438.61</v>
      </c>
      <c r="E12" s="10">
        <v>198.67</v>
      </c>
      <c r="F12" s="10">
        <v>239</v>
      </c>
      <c r="G12" s="10">
        <v>220.25</v>
      </c>
      <c r="H12" s="10">
        <v>135.09</v>
      </c>
      <c r="I12" s="10">
        <v>257.39999999999998</v>
      </c>
      <c r="J12" s="10">
        <f t="shared" si="0"/>
        <v>1231.6199999999999</v>
      </c>
      <c r="K12" s="10">
        <v>209.78</v>
      </c>
      <c r="L12" s="10">
        <v>142.63999999999999</v>
      </c>
      <c r="M12" s="10">
        <v>50.75</v>
      </c>
      <c r="N12" s="10">
        <v>56</v>
      </c>
      <c r="O12" s="10">
        <v>122.11</v>
      </c>
      <c r="P12" s="10">
        <v>67.8</v>
      </c>
      <c r="Q12" s="10">
        <v>73.38</v>
      </c>
      <c r="R12" s="10">
        <v>78.44</v>
      </c>
      <c r="S12" s="10">
        <v>0</v>
      </c>
      <c r="T12" s="10">
        <v>173.37</v>
      </c>
      <c r="U12" s="10">
        <v>0</v>
      </c>
      <c r="V12" s="10">
        <v>0</v>
      </c>
      <c r="W12" s="10">
        <f t="shared" si="1"/>
        <v>974.26999999999987</v>
      </c>
      <c r="X12" s="10">
        <v>460.5</v>
      </c>
      <c r="Y12" s="10">
        <v>180.4</v>
      </c>
      <c r="Z12" s="10">
        <f t="shared" si="2"/>
        <v>640.9</v>
      </c>
      <c r="AB12" s="58" t="s">
        <v>19</v>
      </c>
      <c r="AC12" s="19">
        <f t="shared" si="3"/>
        <v>0.27400241522063334</v>
      </c>
      <c r="AD12" s="19">
        <f t="shared" si="3"/>
        <v>0.1388390921987962</v>
      </c>
      <c r="AE12" s="19">
        <f t="shared" si="4"/>
        <v>0.25402510990697674</v>
      </c>
      <c r="AF12" s="19">
        <f t="shared" si="5"/>
        <v>0.20094594422717249</v>
      </c>
      <c r="AG12" s="19">
        <f t="shared" si="6"/>
        <v>0.13218743844642128</v>
      </c>
    </row>
    <row r="13" spans="1:33" x14ac:dyDescent="0.25">
      <c r="A13" s="58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0</v>
      </c>
      <c r="X13" s="10">
        <v>0</v>
      </c>
      <c r="Y13" s="10">
        <v>0</v>
      </c>
      <c r="Z13" s="10">
        <f t="shared" si="2"/>
        <v>0</v>
      </c>
      <c r="AB13" s="58" t="s">
        <v>23</v>
      </c>
      <c r="AC13" s="19" t="str">
        <f t="shared" si="3"/>
        <v/>
      </c>
      <c r="AD13" s="19" t="str">
        <f t="shared" si="3"/>
        <v/>
      </c>
      <c r="AE13" s="19" t="str">
        <f t="shared" si="4"/>
        <v/>
      </c>
      <c r="AF13" s="19" t="str">
        <f t="shared" si="5"/>
        <v/>
      </c>
      <c r="AG13" s="19" t="str">
        <f t="shared" si="6"/>
        <v/>
      </c>
    </row>
    <row r="14" spans="1:33" x14ac:dyDescent="0.25">
      <c r="A14" s="58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0</v>
      </c>
      <c r="X14" s="10">
        <v>0</v>
      </c>
      <c r="Y14" s="10">
        <v>0</v>
      </c>
      <c r="Z14" s="10">
        <f t="shared" si="2"/>
        <v>0</v>
      </c>
      <c r="AB14" s="58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33" x14ac:dyDescent="0.25">
      <c r="A15" s="58" t="s">
        <v>160</v>
      </c>
      <c r="B15" s="10">
        <v>10.835000000000001</v>
      </c>
      <c r="C15" s="10">
        <v>13.6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0</v>
      </c>
      <c r="X15" s="10">
        <v>0</v>
      </c>
      <c r="Y15" s="10">
        <v>0</v>
      </c>
      <c r="Z15" s="10">
        <f t="shared" si="2"/>
        <v>0</v>
      </c>
      <c r="AB15" s="58" t="s">
        <v>160</v>
      </c>
      <c r="AC15" s="19">
        <f t="shared" si="3"/>
        <v>0.44342132187436056</v>
      </c>
      <c r="AD15" s="19">
        <f t="shared" si="3"/>
        <v>0.55657867812563944</v>
      </c>
      <c r="AE15" s="19">
        <f t="shared" si="4"/>
        <v>0</v>
      </c>
      <c r="AF15" s="19">
        <f t="shared" si="5"/>
        <v>0</v>
      </c>
      <c r="AG15" s="19">
        <f t="shared" si="6"/>
        <v>0</v>
      </c>
    </row>
    <row r="16" spans="1:33" x14ac:dyDescent="0.25">
      <c r="A16" s="58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ref="W16:W21" si="7">SUM(K16:V16)</f>
        <v>0</v>
      </c>
      <c r="X16" s="10">
        <v>0</v>
      </c>
      <c r="Y16" s="10">
        <v>0</v>
      </c>
      <c r="Z16" s="10">
        <f t="shared" si="2"/>
        <v>0</v>
      </c>
      <c r="AB16" s="58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58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7"/>
        <v>0</v>
      </c>
      <c r="X17" s="10">
        <v>0</v>
      </c>
      <c r="Y17" s="10">
        <v>0</v>
      </c>
      <c r="Z17" s="10">
        <f t="shared" ref="Z17:Z21" si="8">SUM(X17:Y17)</f>
        <v>0</v>
      </c>
      <c r="AB17" s="58" t="s">
        <v>89</v>
      </c>
      <c r="AC17" s="19" t="str">
        <f t="shared" si="3"/>
        <v/>
      </c>
      <c r="AD17" s="19" t="str">
        <f t="shared" si="3"/>
        <v/>
      </c>
      <c r="AE17" s="19" t="str">
        <f t="shared" si="4"/>
        <v/>
      </c>
      <c r="AF17" s="19" t="str">
        <f t="shared" si="5"/>
        <v/>
      </c>
      <c r="AG17" s="19" t="str">
        <f t="shared" si="6"/>
        <v/>
      </c>
    </row>
    <row r="18" spans="1:33" x14ac:dyDescent="0.25">
      <c r="A18" s="58" t="s">
        <v>32</v>
      </c>
      <c r="B18" s="10">
        <v>122.83</v>
      </c>
      <c r="C18" s="10">
        <v>155.67500000000001</v>
      </c>
      <c r="D18" s="10">
        <v>208.12</v>
      </c>
      <c r="E18" s="10">
        <v>121.86</v>
      </c>
      <c r="F18" s="10">
        <v>132.21</v>
      </c>
      <c r="G18" s="10">
        <v>138.88</v>
      </c>
      <c r="H18" s="10">
        <v>30.61</v>
      </c>
      <c r="I18" s="10">
        <v>78.930000000000007</v>
      </c>
      <c r="J18" s="10">
        <f t="shared" ref="J18:J21" si="9">SUM(D18:H18)</f>
        <v>631.68000000000006</v>
      </c>
      <c r="K18" s="10">
        <v>85.27</v>
      </c>
      <c r="L18" s="10">
        <v>0</v>
      </c>
      <c r="M18" s="10">
        <v>51.07</v>
      </c>
      <c r="N18" s="10">
        <v>56.16</v>
      </c>
      <c r="O18" s="10">
        <v>0</v>
      </c>
      <c r="P18" s="10">
        <v>65.88</v>
      </c>
      <c r="Q18" s="10">
        <v>0</v>
      </c>
      <c r="R18" s="10">
        <v>78.805000000000007</v>
      </c>
      <c r="S18" s="10">
        <v>82.14</v>
      </c>
      <c r="T18" s="10">
        <v>0</v>
      </c>
      <c r="U18" s="10">
        <v>0</v>
      </c>
      <c r="V18" s="10">
        <v>0</v>
      </c>
      <c r="W18" s="10">
        <f t="shared" si="7"/>
        <v>419.32499999999999</v>
      </c>
      <c r="X18" s="10">
        <v>0</v>
      </c>
      <c r="Y18" s="10">
        <v>0</v>
      </c>
      <c r="Z18" s="10">
        <f t="shared" si="8"/>
        <v>0</v>
      </c>
      <c r="AB18" s="58" t="s">
        <v>32</v>
      </c>
      <c r="AC18" s="19">
        <f t="shared" si="3"/>
        <v>9.2387420929515379E-2</v>
      </c>
      <c r="AD18" s="19">
        <f t="shared" si="3"/>
        <v>0.1170920113425247</v>
      </c>
      <c r="AE18" s="19">
        <f t="shared" si="4"/>
        <v>0.47512241352077084</v>
      </c>
      <c r="AF18" s="19">
        <f t="shared" si="5"/>
        <v>0.31539815420718909</v>
      </c>
      <c r="AG18" s="19">
        <f t="shared" si="6"/>
        <v>0</v>
      </c>
    </row>
    <row r="19" spans="1:33" x14ac:dyDescent="0.25">
      <c r="A19" s="58" t="s">
        <v>90</v>
      </c>
      <c r="B19" s="10">
        <v>0.96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9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7"/>
        <v>0</v>
      </c>
      <c r="X19" s="10">
        <v>0</v>
      </c>
      <c r="Y19" s="10">
        <v>0</v>
      </c>
      <c r="Z19" s="10">
        <f t="shared" si="8"/>
        <v>0</v>
      </c>
      <c r="AB19" s="58" t="s">
        <v>90</v>
      </c>
      <c r="AC19" s="19">
        <f t="shared" si="3"/>
        <v>1</v>
      </c>
      <c r="AD19" s="19">
        <f t="shared" si="3"/>
        <v>0</v>
      </c>
      <c r="AE19" s="19">
        <f t="shared" si="4"/>
        <v>0</v>
      </c>
      <c r="AF19" s="19">
        <f t="shared" si="5"/>
        <v>0</v>
      </c>
      <c r="AG19" s="19">
        <f t="shared" si="6"/>
        <v>0</v>
      </c>
    </row>
    <row r="20" spans="1:33" x14ac:dyDescent="0.25">
      <c r="A20" s="58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9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7"/>
        <v>0</v>
      </c>
      <c r="X20" s="10">
        <v>0</v>
      </c>
      <c r="Y20" s="10">
        <v>0</v>
      </c>
      <c r="Z20" s="10">
        <f t="shared" si="8"/>
        <v>0</v>
      </c>
      <c r="AB20" s="58" t="s">
        <v>91</v>
      </c>
      <c r="AC20" s="19" t="str">
        <f t="shared" si="3"/>
        <v/>
      </c>
      <c r="AD20" s="19" t="str">
        <f t="shared" si="3"/>
        <v/>
      </c>
      <c r="AE20" s="19" t="str">
        <f t="shared" si="4"/>
        <v/>
      </c>
      <c r="AF20" s="19" t="str">
        <f t="shared" si="5"/>
        <v/>
      </c>
      <c r="AG20" s="19" t="str">
        <f t="shared" si="6"/>
        <v/>
      </c>
    </row>
    <row r="21" spans="1:33" x14ac:dyDescent="0.25">
      <c r="A21" s="52" t="s">
        <v>33</v>
      </c>
      <c r="B21" s="53">
        <v>19362.313333333401</v>
      </c>
      <c r="C21" s="53">
        <v>6695.9333333333298</v>
      </c>
      <c r="D21" s="53">
        <v>3051.77</v>
      </c>
      <c r="E21" s="53">
        <v>1983.35</v>
      </c>
      <c r="F21" s="53">
        <v>1645.13</v>
      </c>
      <c r="G21" s="53">
        <v>1434.6</v>
      </c>
      <c r="H21" s="53">
        <v>749.04</v>
      </c>
      <c r="I21" s="53">
        <v>911.65</v>
      </c>
      <c r="J21" s="115">
        <f t="shared" si="9"/>
        <v>8863.89</v>
      </c>
      <c r="K21" s="53">
        <v>709.92</v>
      </c>
      <c r="L21" s="53">
        <v>669.47</v>
      </c>
      <c r="M21" s="53">
        <v>313.39</v>
      </c>
      <c r="N21" s="53">
        <v>226.39</v>
      </c>
      <c r="O21" s="53">
        <v>433.65</v>
      </c>
      <c r="P21" s="53">
        <v>469.48</v>
      </c>
      <c r="Q21" s="53">
        <v>218.95</v>
      </c>
      <c r="R21" s="53">
        <v>311.315</v>
      </c>
      <c r="S21" s="53">
        <v>165.95</v>
      </c>
      <c r="T21" s="53">
        <v>173.37</v>
      </c>
      <c r="U21" s="53">
        <v>184.39</v>
      </c>
      <c r="V21" s="53">
        <v>192.54</v>
      </c>
      <c r="W21" s="115">
        <f t="shared" si="7"/>
        <v>4068.8149999999991</v>
      </c>
      <c r="X21" s="53">
        <v>1525.39</v>
      </c>
      <c r="Y21" s="53">
        <v>1770.83</v>
      </c>
      <c r="Z21" s="115">
        <f t="shared" si="8"/>
        <v>3296.2200000000003</v>
      </c>
      <c r="AB21" s="52" t="s">
        <v>33</v>
      </c>
      <c r="AC21" s="65">
        <f t="shared" si="3"/>
        <v>0.45787676428111479</v>
      </c>
      <c r="AD21" s="65">
        <f t="shared" si="3"/>
        <v>0.15834431742360919</v>
      </c>
      <c r="AE21" s="134">
        <f t="shared" si="4"/>
        <v>0.20961179598083748</v>
      </c>
      <c r="AF21" s="134">
        <f t="shared" si="5"/>
        <v>9.6218660166560194E-2</v>
      </c>
      <c r="AG21" s="134">
        <f t="shared" si="6"/>
        <v>7.794846214787822E-2</v>
      </c>
    </row>
    <row r="24" spans="1:33" x14ac:dyDescent="0.25">
      <c r="A24" s="87" t="s">
        <v>140</v>
      </c>
      <c r="AB24" s="87" t="s">
        <v>140</v>
      </c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114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114" t="s">
        <v>94</v>
      </c>
      <c r="X25" s="51" t="s">
        <v>81</v>
      </c>
      <c r="Y25" s="51" t="s">
        <v>82</v>
      </c>
      <c r="Z25" s="114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58" t="s">
        <v>4</v>
      </c>
      <c r="B26" s="10">
        <v>117</v>
      </c>
      <c r="C26" s="10">
        <v>33</v>
      </c>
      <c r="D26" s="10">
        <v>12</v>
      </c>
      <c r="E26" s="10">
        <v>11</v>
      </c>
      <c r="F26" s="10">
        <v>6</v>
      </c>
      <c r="G26" s="10">
        <v>9</v>
      </c>
      <c r="H26" s="10">
        <v>2</v>
      </c>
      <c r="I26" s="10">
        <v>2</v>
      </c>
      <c r="J26" s="10">
        <f>SUM(D26:I26)</f>
        <v>42</v>
      </c>
      <c r="K26" s="10">
        <v>0</v>
      </c>
      <c r="L26" s="10">
        <v>2</v>
      </c>
      <c r="M26" s="10">
        <v>3</v>
      </c>
      <c r="N26" s="10">
        <v>2</v>
      </c>
      <c r="O26" s="10">
        <v>2</v>
      </c>
      <c r="P26" s="10">
        <v>2</v>
      </c>
      <c r="Q26" s="10">
        <v>1</v>
      </c>
      <c r="R26" s="10">
        <v>0</v>
      </c>
      <c r="S26" s="10">
        <v>0</v>
      </c>
      <c r="T26" s="10">
        <v>0</v>
      </c>
      <c r="U26" s="10">
        <v>1</v>
      </c>
      <c r="V26" s="10">
        <v>2</v>
      </c>
      <c r="W26" s="10">
        <f>SUM(K26:V26)</f>
        <v>15</v>
      </c>
      <c r="X26" s="10">
        <v>4</v>
      </c>
      <c r="Y26" s="10">
        <v>4</v>
      </c>
      <c r="Z26" s="10">
        <f>SUM(X26:Y26)</f>
        <v>8</v>
      </c>
      <c r="AB26" s="58" t="s">
        <v>4</v>
      </c>
      <c r="AC26" s="19">
        <f>IFERROR(B26/SUM($B26+$C26+$J26+$W26+$Z26),"")</f>
        <v>0.54418604651162794</v>
      </c>
      <c r="AD26" s="19">
        <f>IFERROR(C26/SUM($B26+$C26+$J26+$W26+$Z26),"")</f>
        <v>0.15348837209302327</v>
      </c>
      <c r="AE26" s="19">
        <f>IFERROR(J26/SUM($B26+$C26+$J26+$W26+$Z26),"")</f>
        <v>0.19534883720930232</v>
      </c>
      <c r="AF26" s="19">
        <f>IFERROR(W26/SUM($B26+$C26+$J26+$W26+$Z26),"")</f>
        <v>6.9767441860465115E-2</v>
      </c>
      <c r="AG26" s="19">
        <f>IFERROR(Z26/SUM($B26+$C26+$J26+$W26+$Z26),"")</f>
        <v>3.7209302325581395E-2</v>
      </c>
    </row>
    <row r="27" spans="1:33" x14ac:dyDescent="0.25">
      <c r="A27" s="58" t="s">
        <v>43</v>
      </c>
      <c r="B27" s="10">
        <v>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37" si="10">SUM(D27:I27)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38" si="11">SUM(K27:V27)</f>
        <v>0</v>
      </c>
      <c r="X27" s="10">
        <v>0</v>
      </c>
      <c r="Y27" s="10">
        <v>0</v>
      </c>
      <c r="Z27" s="10">
        <f t="shared" ref="Z27:Z38" si="12">SUM(X27:Y27)</f>
        <v>0</v>
      </c>
      <c r="AB27" s="58" t="s">
        <v>43</v>
      </c>
      <c r="AC27" s="19">
        <f t="shared" ref="AC27:AC42" si="13">IFERROR(B27/SUM($B27+$C27+$J27+$W27+$Z27),"")</f>
        <v>1</v>
      </c>
      <c r="AD27" s="19">
        <f t="shared" ref="AD27:AD42" si="14">IFERROR(C27/SUM($B27+$C27+$J27+$W27+$Z27),"")</f>
        <v>0</v>
      </c>
      <c r="AE27" s="19">
        <f t="shared" ref="AE27:AE42" si="15">IFERROR(J27/SUM($B27+$C27+$J27+$W27+$Z27),"")</f>
        <v>0</v>
      </c>
      <c r="AF27" s="19">
        <f t="shared" ref="AF27:AF42" si="16">IFERROR(W27/SUM($B27+$C27+$J27+$W27+$Z27),"")</f>
        <v>0</v>
      </c>
      <c r="AG27" s="19">
        <f t="shared" ref="AG27:AG42" si="17">IFERROR(Z27/SUM($B27+$C27+$J27+$W27+$Z27),"")</f>
        <v>0</v>
      </c>
    </row>
    <row r="28" spans="1:33" x14ac:dyDescent="0.25">
      <c r="A28" s="58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10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11"/>
        <v>0</v>
      </c>
      <c r="X28" s="10">
        <v>0</v>
      </c>
      <c r="Y28" s="10">
        <v>0</v>
      </c>
      <c r="Z28" s="10">
        <f t="shared" si="12"/>
        <v>0</v>
      </c>
      <c r="AB28" s="58" t="s">
        <v>13</v>
      </c>
      <c r="AC28" s="19" t="str">
        <f t="shared" si="13"/>
        <v/>
      </c>
      <c r="AD28" s="19" t="str">
        <f t="shared" si="14"/>
        <v/>
      </c>
      <c r="AE28" s="19" t="str">
        <f t="shared" si="15"/>
        <v/>
      </c>
      <c r="AF28" s="19" t="str">
        <f t="shared" si="16"/>
        <v/>
      </c>
      <c r="AG28" s="19" t="str">
        <f t="shared" si="17"/>
        <v/>
      </c>
    </row>
    <row r="29" spans="1:33" x14ac:dyDescent="0.25">
      <c r="A29" s="58" t="s">
        <v>14</v>
      </c>
      <c r="B29" s="10">
        <v>12873</v>
      </c>
      <c r="C29" s="10">
        <v>828</v>
      </c>
      <c r="D29" s="10">
        <v>187</v>
      </c>
      <c r="E29" s="10">
        <v>85</v>
      </c>
      <c r="F29" s="10">
        <v>50</v>
      </c>
      <c r="G29" s="10">
        <v>28</v>
      </c>
      <c r="H29" s="10">
        <v>16</v>
      </c>
      <c r="I29" s="10">
        <v>13</v>
      </c>
      <c r="J29" s="10">
        <f t="shared" si="10"/>
        <v>379</v>
      </c>
      <c r="K29" s="10">
        <v>10</v>
      </c>
      <c r="L29" s="10">
        <v>9</v>
      </c>
      <c r="M29" s="10">
        <v>1</v>
      </c>
      <c r="N29" s="10">
        <v>0</v>
      </c>
      <c r="O29" s="10">
        <v>3</v>
      </c>
      <c r="P29" s="10">
        <v>3</v>
      </c>
      <c r="Q29" s="10">
        <v>1</v>
      </c>
      <c r="R29" s="10">
        <v>2</v>
      </c>
      <c r="S29" s="10">
        <v>1</v>
      </c>
      <c r="T29" s="10">
        <v>0</v>
      </c>
      <c r="U29" s="10">
        <v>1</v>
      </c>
      <c r="V29" s="10">
        <v>0</v>
      </c>
      <c r="W29" s="10">
        <f t="shared" si="11"/>
        <v>31</v>
      </c>
      <c r="X29" s="10">
        <v>5</v>
      </c>
      <c r="Y29" s="10">
        <v>4</v>
      </c>
      <c r="Z29" s="10">
        <f t="shared" si="12"/>
        <v>9</v>
      </c>
      <c r="AB29" s="58" t="s">
        <v>14</v>
      </c>
      <c r="AC29" s="19">
        <f t="shared" si="13"/>
        <v>0.91168555240793203</v>
      </c>
      <c r="AD29" s="19">
        <f t="shared" si="14"/>
        <v>5.8640226628895183E-2</v>
      </c>
      <c r="AE29" s="19">
        <f t="shared" si="15"/>
        <v>2.6841359773371105E-2</v>
      </c>
      <c r="AF29" s="19">
        <f t="shared" si="16"/>
        <v>2.1954674220963171E-3</v>
      </c>
      <c r="AG29" s="19">
        <f t="shared" si="17"/>
        <v>6.3739376770538243E-4</v>
      </c>
    </row>
    <row r="30" spans="1:33" x14ac:dyDescent="0.25">
      <c r="A30" s="58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10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11"/>
        <v>0</v>
      </c>
      <c r="X30" s="10">
        <v>0</v>
      </c>
      <c r="Y30" s="10">
        <v>0</v>
      </c>
      <c r="Z30" s="10">
        <f t="shared" si="12"/>
        <v>0</v>
      </c>
      <c r="AB30" s="58" t="s">
        <v>36</v>
      </c>
      <c r="AC30" s="19" t="str">
        <f t="shared" si="13"/>
        <v/>
      </c>
      <c r="AD30" s="19" t="str">
        <f t="shared" si="14"/>
        <v/>
      </c>
      <c r="AE30" s="19" t="str">
        <f t="shared" si="15"/>
        <v/>
      </c>
      <c r="AF30" s="19" t="str">
        <f t="shared" si="16"/>
        <v/>
      </c>
      <c r="AG30" s="19" t="str">
        <f t="shared" si="17"/>
        <v/>
      </c>
    </row>
    <row r="31" spans="1:33" x14ac:dyDescent="0.25">
      <c r="A31" s="58" t="s">
        <v>39</v>
      </c>
      <c r="B31" s="10">
        <v>8</v>
      </c>
      <c r="C31" s="10">
        <v>1</v>
      </c>
      <c r="D31" s="10">
        <v>0</v>
      </c>
      <c r="E31" s="10">
        <v>0</v>
      </c>
      <c r="F31" s="10">
        <v>1</v>
      </c>
      <c r="G31" s="10">
        <v>2</v>
      </c>
      <c r="H31" s="10">
        <v>0</v>
      </c>
      <c r="I31" s="10">
        <v>0</v>
      </c>
      <c r="J31" s="10">
        <f t="shared" si="10"/>
        <v>3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11"/>
        <v>0</v>
      </c>
      <c r="X31" s="10">
        <v>0</v>
      </c>
      <c r="Y31" s="10">
        <v>0</v>
      </c>
      <c r="Z31" s="10">
        <f t="shared" si="12"/>
        <v>0</v>
      </c>
      <c r="AB31" s="58" t="s">
        <v>39</v>
      </c>
      <c r="AC31" s="19">
        <f t="shared" si="13"/>
        <v>0.66666666666666663</v>
      </c>
      <c r="AD31" s="19">
        <f t="shared" si="14"/>
        <v>8.3333333333333329E-2</v>
      </c>
      <c r="AE31" s="19">
        <f t="shared" si="15"/>
        <v>0.25</v>
      </c>
      <c r="AF31" s="19">
        <f t="shared" si="16"/>
        <v>0</v>
      </c>
      <c r="AG31" s="19">
        <f t="shared" si="17"/>
        <v>0</v>
      </c>
    </row>
    <row r="32" spans="1:33" x14ac:dyDescent="0.25">
      <c r="A32" s="58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10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1"/>
        <v>0</v>
      </c>
      <c r="X32" s="10">
        <v>0</v>
      </c>
      <c r="Y32" s="10">
        <v>0</v>
      </c>
      <c r="Z32" s="10">
        <f t="shared" si="12"/>
        <v>0</v>
      </c>
      <c r="AB32" s="58" t="s">
        <v>18</v>
      </c>
      <c r="AC32" s="19" t="str">
        <f t="shared" si="13"/>
        <v/>
      </c>
      <c r="AD32" s="19" t="str">
        <f t="shared" si="14"/>
        <v/>
      </c>
      <c r="AE32" s="19" t="str">
        <f t="shared" si="15"/>
        <v/>
      </c>
      <c r="AF32" s="19" t="str">
        <f t="shared" si="16"/>
        <v/>
      </c>
      <c r="AG32" s="19" t="str">
        <f t="shared" si="17"/>
        <v/>
      </c>
    </row>
    <row r="33" spans="1:33" x14ac:dyDescent="0.25">
      <c r="A33" s="58" t="s">
        <v>19</v>
      </c>
      <c r="B33" s="10">
        <v>1153</v>
      </c>
      <c r="C33" s="10">
        <v>97</v>
      </c>
      <c r="D33" s="10">
        <v>36</v>
      </c>
      <c r="E33" s="10">
        <v>12</v>
      </c>
      <c r="F33" s="10">
        <v>11</v>
      </c>
      <c r="G33" s="10">
        <v>8</v>
      </c>
      <c r="H33" s="10">
        <v>4</v>
      </c>
      <c r="I33" s="10">
        <v>7</v>
      </c>
      <c r="J33" s="10">
        <f t="shared" si="10"/>
        <v>78</v>
      </c>
      <c r="K33" s="10">
        <v>5</v>
      </c>
      <c r="L33" s="10">
        <v>3</v>
      </c>
      <c r="M33" s="10">
        <v>1</v>
      </c>
      <c r="N33" s="10">
        <v>1</v>
      </c>
      <c r="O33" s="10">
        <v>2</v>
      </c>
      <c r="P33" s="10">
        <v>1</v>
      </c>
      <c r="Q33" s="10">
        <v>1</v>
      </c>
      <c r="R33" s="10">
        <v>1</v>
      </c>
      <c r="S33" s="10">
        <v>0</v>
      </c>
      <c r="T33" s="10">
        <v>2</v>
      </c>
      <c r="U33" s="10">
        <v>0</v>
      </c>
      <c r="V33" s="10">
        <v>0</v>
      </c>
      <c r="W33" s="10">
        <f t="shared" si="11"/>
        <v>17</v>
      </c>
      <c r="X33" s="10">
        <v>4</v>
      </c>
      <c r="Y33" s="10">
        <v>1</v>
      </c>
      <c r="Z33" s="10">
        <f t="shared" si="12"/>
        <v>5</v>
      </c>
      <c r="AB33" s="58" t="s">
        <v>19</v>
      </c>
      <c r="AC33" s="19">
        <f t="shared" si="13"/>
        <v>0.8540740740740741</v>
      </c>
      <c r="AD33" s="19">
        <f t="shared" si="14"/>
        <v>7.1851851851851847E-2</v>
      </c>
      <c r="AE33" s="19">
        <f t="shared" si="15"/>
        <v>5.7777777777777775E-2</v>
      </c>
      <c r="AF33" s="19">
        <f t="shared" si="16"/>
        <v>1.2592592592592593E-2</v>
      </c>
      <c r="AG33" s="19">
        <f t="shared" si="17"/>
        <v>3.7037037037037038E-3</v>
      </c>
    </row>
    <row r="34" spans="1:33" x14ac:dyDescent="0.25">
      <c r="A34" s="58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10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11"/>
        <v>0</v>
      </c>
      <c r="X34" s="10">
        <v>0</v>
      </c>
      <c r="Y34" s="10">
        <v>0</v>
      </c>
      <c r="Z34" s="10">
        <f t="shared" si="12"/>
        <v>0</v>
      </c>
      <c r="AB34" s="58" t="s">
        <v>23</v>
      </c>
      <c r="AC34" s="19" t="str">
        <f t="shared" si="13"/>
        <v/>
      </c>
      <c r="AD34" s="19" t="str">
        <f t="shared" si="14"/>
        <v/>
      </c>
      <c r="AE34" s="19" t="str">
        <f t="shared" si="15"/>
        <v/>
      </c>
      <c r="AF34" s="19" t="str">
        <f t="shared" si="16"/>
        <v/>
      </c>
      <c r="AG34" s="19" t="str">
        <f t="shared" si="17"/>
        <v/>
      </c>
    </row>
    <row r="35" spans="1:33" x14ac:dyDescent="0.25">
      <c r="A35" s="58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10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11"/>
        <v>0</v>
      </c>
      <c r="X35" s="10">
        <v>0</v>
      </c>
      <c r="Y35" s="10">
        <v>0</v>
      </c>
      <c r="Z35" s="10">
        <f t="shared" si="12"/>
        <v>0</v>
      </c>
      <c r="AB35" s="58" t="s">
        <v>26</v>
      </c>
      <c r="AC35" s="19" t="str">
        <f t="shared" si="13"/>
        <v/>
      </c>
      <c r="AD35" s="19" t="str">
        <f t="shared" si="14"/>
        <v/>
      </c>
      <c r="AE35" s="19" t="str">
        <f t="shared" si="15"/>
        <v/>
      </c>
      <c r="AF35" s="19" t="str">
        <f t="shared" si="16"/>
        <v/>
      </c>
      <c r="AG35" s="19" t="str">
        <f t="shared" si="17"/>
        <v/>
      </c>
    </row>
    <row r="36" spans="1:33" x14ac:dyDescent="0.25">
      <c r="A36" s="58" t="s">
        <v>160</v>
      </c>
      <c r="B36" s="10">
        <v>8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10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11"/>
        <v>0</v>
      </c>
      <c r="X36" s="10">
        <v>0</v>
      </c>
      <c r="Y36" s="10">
        <v>0</v>
      </c>
      <c r="Z36" s="10">
        <f t="shared" si="12"/>
        <v>0</v>
      </c>
      <c r="AB36" s="58" t="s">
        <v>160</v>
      </c>
      <c r="AC36" s="19">
        <f t="shared" si="13"/>
        <v>0.8</v>
      </c>
      <c r="AD36" s="19">
        <f t="shared" si="14"/>
        <v>0.2</v>
      </c>
      <c r="AE36" s="19">
        <f t="shared" si="15"/>
        <v>0</v>
      </c>
      <c r="AF36" s="19">
        <f t="shared" si="16"/>
        <v>0</v>
      </c>
      <c r="AG36" s="19">
        <f t="shared" si="17"/>
        <v>0</v>
      </c>
    </row>
    <row r="37" spans="1:33" x14ac:dyDescent="0.25">
      <c r="A37" s="58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10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11"/>
        <v>0</v>
      </c>
      <c r="X37" s="10">
        <v>0</v>
      </c>
      <c r="Y37" s="10">
        <v>0</v>
      </c>
      <c r="Z37" s="10">
        <f t="shared" si="12"/>
        <v>0</v>
      </c>
      <c r="AB37" s="58" t="s">
        <v>161</v>
      </c>
      <c r="AC37" s="19" t="str">
        <f t="shared" si="13"/>
        <v/>
      </c>
      <c r="AD37" s="19" t="str">
        <f t="shared" si="14"/>
        <v/>
      </c>
      <c r="AE37" s="19" t="str">
        <f t="shared" si="15"/>
        <v/>
      </c>
      <c r="AF37" s="19" t="str">
        <f t="shared" si="16"/>
        <v/>
      </c>
      <c r="AG37" s="19" t="str">
        <f t="shared" si="17"/>
        <v/>
      </c>
    </row>
    <row r="38" spans="1:33" x14ac:dyDescent="0.25">
      <c r="A38" s="58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ref="J38:J42" si="18">SUM(D38:I38)</f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si="11"/>
        <v>0</v>
      </c>
      <c r="X38" s="10">
        <v>0</v>
      </c>
      <c r="Y38" s="10">
        <v>0</v>
      </c>
      <c r="Z38" s="10">
        <f t="shared" si="12"/>
        <v>0</v>
      </c>
      <c r="AB38" s="58" t="s">
        <v>89</v>
      </c>
      <c r="AC38" s="19" t="str">
        <f t="shared" si="13"/>
        <v/>
      </c>
      <c r="AD38" s="19" t="str">
        <f t="shared" si="14"/>
        <v/>
      </c>
      <c r="AE38" s="19" t="str">
        <f t="shared" si="15"/>
        <v/>
      </c>
      <c r="AF38" s="19" t="str">
        <f t="shared" si="16"/>
        <v/>
      </c>
      <c r="AG38" s="19" t="str">
        <f t="shared" si="17"/>
        <v/>
      </c>
    </row>
    <row r="39" spans="1:33" x14ac:dyDescent="0.25">
      <c r="A39" s="58" t="s">
        <v>32</v>
      </c>
      <c r="B39" s="10">
        <v>62</v>
      </c>
      <c r="C39" s="10">
        <v>21</v>
      </c>
      <c r="D39" s="10">
        <v>17</v>
      </c>
      <c r="E39" s="10">
        <v>7</v>
      </c>
      <c r="F39" s="10">
        <v>6</v>
      </c>
      <c r="G39" s="10">
        <v>5</v>
      </c>
      <c r="H39" s="10">
        <v>1</v>
      </c>
      <c r="I39" s="10">
        <v>2</v>
      </c>
      <c r="J39" s="10">
        <f t="shared" si="18"/>
        <v>38</v>
      </c>
      <c r="K39" s="10">
        <v>2</v>
      </c>
      <c r="L39" s="10">
        <v>0</v>
      </c>
      <c r="M39" s="10">
        <v>1</v>
      </c>
      <c r="N39" s="10">
        <v>1</v>
      </c>
      <c r="O39" s="10">
        <v>0</v>
      </c>
      <c r="P39" s="10">
        <v>1</v>
      </c>
      <c r="Q39" s="10">
        <v>0</v>
      </c>
      <c r="R39" s="10">
        <v>1</v>
      </c>
      <c r="S39" s="10">
        <v>1</v>
      </c>
      <c r="T39" s="10">
        <v>0</v>
      </c>
      <c r="U39" s="10">
        <v>0</v>
      </c>
      <c r="V39" s="10">
        <v>0</v>
      </c>
      <c r="W39" s="10">
        <f t="shared" ref="W39:W42" si="19">SUM(K39:V39)</f>
        <v>7</v>
      </c>
      <c r="X39" s="10">
        <v>0</v>
      </c>
      <c r="Y39" s="10">
        <v>0</v>
      </c>
      <c r="Z39" s="10">
        <f t="shared" ref="Z39:Z42" si="20">SUM(X39:Y39)</f>
        <v>0</v>
      </c>
      <c r="AB39" s="58" t="s">
        <v>32</v>
      </c>
      <c r="AC39" s="19">
        <f t="shared" si="13"/>
        <v>0.484375</v>
      </c>
      <c r="AD39" s="19">
        <f t="shared" si="14"/>
        <v>0.1640625</v>
      </c>
      <c r="AE39" s="19">
        <f t="shared" si="15"/>
        <v>0.296875</v>
      </c>
      <c r="AF39" s="19">
        <f t="shared" si="16"/>
        <v>5.46875E-2</v>
      </c>
      <c r="AG39" s="19">
        <f t="shared" si="17"/>
        <v>0</v>
      </c>
    </row>
    <row r="40" spans="1:33" x14ac:dyDescent="0.25">
      <c r="A40" s="58" t="s">
        <v>90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18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19"/>
        <v>0</v>
      </c>
      <c r="X40" s="10">
        <v>0</v>
      </c>
      <c r="Y40" s="10">
        <v>0</v>
      </c>
      <c r="Z40" s="10">
        <f t="shared" si="20"/>
        <v>0</v>
      </c>
      <c r="AB40" s="58" t="s">
        <v>90</v>
      </c>
      <c r="AC40" s="19">
        <f t="shared" si="13"/>
        <v>1</v>
      </c>
      <c r="AD40" s="19">
        <f t="shared" si="14"/>
        <v>0</v>
      </c>
      <c r="AE40" s="19">
        <f t="shared" si="15"/>
        <v>0</v>
      </c>
      <c r="AF40" s="19">
        <f t="shared" si="16"/>
        <v>0</v>
      </c>
      <c r="AG40" s="19">
        <f t="shared" si="17"/>
        <v>0</v>
      </c>
    </row>
    <row r="41" spans="1:33" x14ac:dyDescent="0.25">
      <c r="A41" s="58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18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9"/>
        <v>0</v>
      </c>
      <c r="X41" s="10">
        <v>0</v>
      </c>
      <c r="Y41" s="10">
        <v>0</v>
      </c>
      <c r="Z41" s="10">
        <f t="shared" si="20"/>
        <v>0</v>
      </c>
      <c r="AB41" s="58" t="s">
        <v>91</v>
      </c>
      <c r="AC41" s="19" t="str">
        <f t="shared" si="13"/>
        <v/>
      </c>
      <c r="AD41" s="19" t="str">
        <f t="shared" si="14"/>
        <v/>
      </c>
      <c r="AE41" s="19" t="str">
        <f t="shared" si="15"/>
        <v/>
      </c>
      <c r="AF41" s="19" t="str">
        <f t="shared" si="16"/>
        <v/>
      </c>
      <c r="AG41" s="19" t="str">
        <f t="shared" si="17"/>
        <v/>
      </c>
    </row>
    <row r="42" spans="1:33" x14ac:dyDescent="0.25">
      <c r="A42" s="52" t="s">
        <v>33</v>
      </c>
      <c r="B42" s="53">
        <v>14228</v>
      </c>
      <c r="C42" s="53">
        <v>982</v>
      </c>
      <c r="D42" s="53">
        <v>252</v>
      </c>
      <c r="E42" s="53">
        <v>115</v>
      </c>
      <c r="F42" s="53">
        <v>74</v>
      </c>
      <c r="G42" s="53">
        <v>52</v>
      </c>
      <c r="H42" s="53">
        <v>23</v>
      </c>
      <c r="I42" s="53">
        <v>24</v>
      </c>
      <c r="J42" s="115">
        <f t="shared" si="18"/>
        <v>540</v>
      </c>
      <c r="K42" s="53">
        <v>17</v>
      </c>
      <c r="L42" s="53">
        <v>14</v>
      </c>
      <c r="M42" s="53">
        <v>6</v>
      </c>
      <c r="N42" s="53">
        <v>4</v>
      </c>
      <c r="O42" s="53">
        <v>7</v>
      </c>
      <c r="P42" s="53">
        <v>7</v>
      </c>
      <c r="Q42" s="53">
        <v>3</v>
      </c>
      <c r="R42" s="53">
        <v>4</v>
      </c>
      <c r="S42" s="53">
        <v>2</v>
      </c>
      <c r="T42" s="53">
        <v>2</v>
      </c>
      <c r="U42" s="53">
        <v>2</v>
      </c>
      <c r="V42" s="53">
        <v>2</v>
      </c>
      <c r="W42" s="115">
        <f t="shared" si="19"/>
        <v>70</v>
      </c>
      <c r="X42" s="53">
        <v>13</v>
      </c>
      <c r="Y42" s="53">
        <v>9</v>
      </c>
      <c r="Z42" s="115">
        <f t="shared" si="20"/>
        <v>22</v>
      </c>
      <c r="AB42" s="52" t="s">
        <v>33</v>
      </c>
      <c r="AC42" s="65">
        <f t="shared" si="13"/>
        <v>0.89811892437823504</v>
      </c>
      <c r="AD42" s="65">
        <f t="shared" si="14"/>
        <v>6.1987122838025502E-2</v>
      </c>
      <c r="AE42" s="134">
        <f t="shared" si="15"/>
        <v>3.4086605226612804E-2</v>
      </c>
      <c r="AF42" s="134">
        <f t="shared" si="16"/>
        <v>4.4186340108572147E-3</v>
      </c>
      <c r="AG42" s="134">
        <f t="shared" si="17"/>
        <v>1.3887135462694105E-3</v>
      </c>
    </row>
    <row r="43" spans="1:33" x14ac:dyDescent="0.25">
      <c r="X43" s="135"/>
      <c r="Y43" s="135"/>
      <c r="Z43" s="81"/>
    </row>
    <row r="45" spans="1:33" x14ac:dyDescent="0.25">
      <c r="A45" s="72"/>
      <c r="B45" s="72"/>
      <c r="C45" s="98" t="s">
        <v>105</v>
      </c>
      <c r="J45" s="74" t="s">
        <v>106</v>
      </c>
    </row>
    <row r="46" spans="1:33" x14ac:dyDescent="0.25">
      <c r="A46" s="215" t="s">
        <v>4</v>
      </c>
      <c r="B46" s="97" t="s">
        <v>107</v>
      </c>
      <c r="C46" s="19">
        <v>4.6171698721392505E-2</v>
      </c>
      <c r="J46" s="77">
        <v>0.54418604651162794</v>
      </c>
    </row>
    <row r="47" spans="1:33" x14ac:dyDescent="0.25">
      <c r="A47" s="215"/>
      <c r="B47" s="78" t="s">
        <v>108</v>
      </c>
      <c r="C47" s="19">
        <v>7.2028938791590558E-2</v>
      </c>
      <c r="J47" s="77">
        <v>0.15348837209302327</v>
      </c>
    </row>
    <row r="48" spans="1:33" x14ac:dyDescent="0.25">
      <c r="A48" s="215"/>
      <c r="B48" s="97" t="s">
        <v>93</v>
      </c>
      <c r="C48" s="19">
        <v>0.22298628272626339</v>
      </c>
      <c r="J48" s="77">
        <v>0.19534883720930232</v>
      </c>
    </row>
    <row r="49" spans="1:10" x14ac:dyDescent="0.25">
      <c r="A49" s="215"/>
      <c r="B49" s="97" t="s">
        <v>109</v>
      </c>
      <c r="C49" s="77">
        <v>0.28154865513412841</v>
      </c>
      <c r="J49" s="77">
        <v>6.9767441860465115E-2</v>
      </c>
    </row>
    <row r="50" spans="1:10" x14ac:dyDescent="0.25">
      <c r="A50" s="215"/>
      <c r="B50" s="97" t="s">
        <v>95</v>
      </c>
      <c r="C50" s="77">
        <v>0.37726442462662513</v>
      </c>
      <c r="J50" s="77">
        <v>3.7209302325581395E-2</v>
      </c>
    </row>
    <row r="51" spans="1:10" x14ac:dyDescent="0.25">
      <c r="A51" s="215" t="s">
        <v>14</v>
      </c>
      <c r="B51" s="97" t="s">
        <v>107</v>
      </c>
      <c r="C51" s="29">
        <v>0.545413788461516</v>
      </c>
      <c r="J51" s="77">
        <v>0.91168555240793203</v>
      </c>
    </row>
    <row r="52" spans="1:10" x14ac:dyDescent="0.25">
      <c r="A52" s="215"/>
      <c r="B52" s="78" t="s">
        <v>108</v>
      </c>
      <c r="C52" s="29">
        <v>0.17223013068840076</v>
      </c>
      <c r="J52" s="77">
        <v>5.8640226628895183E-2</v>
      </c>
    </row>
    <row r="53" spans="1:10" x14ac:dyDescent="0.25">
      <c r="A53" s="215"/>
      <c r="B53" s="97" t="s">
        <v>93</v>
      </c>
      <c r="C53" s="29">
        <v>0.18905236852462776</v>
      </c>
      <c r="J53" s="77">
        <v>2.6841359773371105E-2</v>
      </c>
    </row>
    <row r="54" spans="1:10" x14ac:dyDescent="0.25">
      <c r="A54" s="215"/>
      <c r="B54" s="97" t="s">
        <v>109</v>
      </c>
      <c r="C54" s="29">
        <v>5.2099497693263157E-2</v>
      </c>
      <c r="J54" s="77">
        <v>2.1954674220963171E-3</v>
      </c>
    </row>
    <row r="55" spans="1:10" x14ac:dyDescent="0.25">
      <c r="A55" s="215"/>
      <c r="B55" s="97" t="s">
        <v>95</v>
      </c>
      <c r="C55" s="29">
        <v>4.1204214632192225E-2</v>
      </c>
      <c r="J55" s="77">
        <v>6.3739376770538243E-4</v>
      </c>
    </row>
  </sheetData>
  <mergeCells count="4">
    <mergeCell ref="AB3:AC3"/>
    <mergeCell ref="A46:A50"/>
    <mergeCell ref="A51:A55"/>
    <mergeCell ref="A3:C3"/>
  </mergeCells>
  <hyperlinks>
    <hyperlink ref="C1" r:id="rId1" location="INDICE!A1"/>
  </hyperlinks>
  <pageMargins left="0.7" right="0.7" top="0.75" bottom="0.75" header="0.3" footer="0.3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>
      <selection activeCell="B1" sqref="B1:C1"/>
    </sheetView>
  </sheetViews>
  <sheetFormatPr baseColWidth="10" defaultRowHeight="15" x14ac:dyDescent="0.25"/>
  <cols>
    <col min="1" max="1" width="22.5703125" customWidth="1"/>
    <col min="3" max="3" width="10" bestFit="1" customWidth="1"/>
    <col min="4" max="7" width="6.7109375" hidden="1" customWidth="1"/>
    <col min="8" max="9" width="7.140625" hidden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3" max="23" width="11.28515625" customWidth="1"/>
    <col min="24" max="24" width="9.140625" hidden="1" customWidth="1"/>
    <col min="25" max="25" width="5.5703125" hidden="1" customWidth="1"/>
    <col min="28" max="28" width="24.85546875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54" t="s">
        <v>150</v>
      </c>
    </row>
    <row r="3" spans="1:33" x14ac:dyDescent="0.25">
      <c r="A3" s="87" t="s">
        <v>139</v>
      </c>
      <c r="B3" s="87"/>
      <c r="C3" s="216"/>
      <c r="D3" s="216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114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114" t="s">
        <v>94</v>
      </c>
      <c r="X4" s="51" t="s">
        <v>81</v>
      </c>
      <c r="Y4" s="51" t="s">
        <v>82</v>
      </c>
      <c r="Z4" s="114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58" t="s">
        <v>4</v>
      </c>
      <c r="B5" s="10">
        <v>543.81200000000001</v>
      </c>
      <c r="C5" s="10">
        <v>518.03</v>
      </c>
      <c r="D5" s="10">
        <v>312.95</v>
      </c>
      <c r="E5" s="10">
        <v>323.95999999999998</v>
      </c>
      <c r="F5" s="10">
        <v>524.48500000000001</v>
      </c>
      <c r="G5" s="10">
        <v>190.31</v>
      </c>
      <c r="H5" s="10">
        <v>297.06</v>
      </c>
      <c r="I5" s="10">
        <v>224.73</v>
      </c>
      <c r="J5" s="10">
        <f>SUM(D5:I5)</f>
        <v>1873.4949999999999</v>
      </c>
      <c r="K5" s="10">
        <v>294.26499999999999</v>
      </c>
      <c r="L5" s="10">
        <v>188.44</v>
      </c>
      <c r="M5" s="10">
        <v>107.8</v>
      </c>
      <c r="N5" s="10">
        <v>113.33</v>
      </c>
      <c r="O5" s="10">
        <v>60.5</v>
      </c>
      <c r="P5" s="10">
        <v>65.7</v>
      </c>
      <c r="Q5" s="10">
        <v>71.61</v>
      </c>
      <c r="R5" s="10">
        <v>381.19</v>
      </c>
      <c r="S5" s="10">
        <v>83.38</v>
      </c>
      <c r="T5" s="10">
        <v>89.93</v>
      </c>
      <c r="U5" s="10">
        <v>276.68</v>
      </c>
      <c r="V5" s="10">
        <v>196.54</v>
      </c>
      <c r="W5" s="10">
        <f>SUM(K5:V5)</f>
        <v>1929.3650000000002</v>
      </c>
      <c r="X5" s="10">
        <v>779.94</v>
      </c>
      <c r="Y5" s="10">
        <v>934.48</v>
      </c>
      <c r="Z5" s="10">
        <f>SUM(X5:Y5)</f>
        <v>1714.42</v>
      </c>
      <c r="AB5" s="58" t="s">
        <v>4</v>
      </c>
      <c r="AC5" s="19">
        <f>IFERROR(B5/SUM($B5+$C5+$J5+$W5+$Z5),"")</f>
        <v>8.2657229946488303E-2</v>
      </c>
      <c r="AD5" s="19">
        <f>IFERROR(C5/SUM($B5+$C5+$J5+$W5+$Z5),"")</f>
        <v>7.8738469966053215E-2</v>
      </c>
      <c r="AE5" s="19">
        <f>IFERROR(J5/SUM($B5+$C5+$J5+$W5+$Z5),"")</f>
        <v>0.28476368123284534</v>
      </c>
      <c r="AF5" s="19">
        <f>IFERROR(W5/SUM($B5+$C5+$J5+$W5+$Z5),"")</f>
        <v>0.29325569582081018</v>
      </c>
      <c r="AG5" s="19">
        <f>IFERROR(Z5/SUM($B5+$C5+$J5+$W5+$Z5),"")</f>
        <v>0.26058492303380298</v>
      </c>
    </row>
    <row r="6" spans="1:33" x14ac:dyDescent="0.25">
      <c r="A6" s="58" t="s">
        <v>43</v>
      </c>
      <c r="B6" s="10">
        <v>9.98</v>
      </c>
      <c r="C6" s="10">
        <v>0</v>
      </c>
      <c r="D6" s="10">
        <v>11.48</v>
      </c>
      <c r="E6" s="10">
        <v>15.73</v>
      </c>
      <c r="F6" s="10">
        <v>0</v>
      </c>
      <c r="G6" s="10">
        <v>0</v>
      </c>
      <c r="H6" s="10">
        <v>0</v>
      </c>
      <c r="I6" s="10">
        <v>0</v>
      </c>
      <c r="J6" s="10">
        <f t="shared" ref="J6:J21" si="0">SUM(D6:I6)</f>
        <v>27.21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1" si="1">SUM(K6:V6)</f>
        <v>0</v>
      </c>
      <c r="X6" s="10">
        <v>0</v>
      </c>
      <c r="Y6" s="10">
        <v>0</v>
      </c>
      <c r="Z6" s="10">
        <f t="shared" ref="Z6:Z21" si="2">SUM(X6:Y6)</f>
        <v>0</v>
      </c>
      <c r="AB6" s="58" t="s">
        <v>43</v>
      </c>
      <c r="AC6" s="19">
        <f t="shared" ref="AC6:AD21" si="3">IFERROR(B6/SUM($B6+$C6+$J6+$W6+$Z6),"")</f>
        <v>0.26835170744823877</v>
      </c>
      <c r="AD6" s="19">
        <f t="shared" si="3"/>
        <v>0</v>
      </c>
      <c r="AE6" s="19">
        <f t="shared" ref="AE6:AE21" si="4">IFERROR(J6/SUM($B6+$C6+$J6+$W6+$Z6),"")</f>
        <v>0.73164829255176134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33" x14ac:dyDescent="0.25">
      <c r="A7" s="58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0</v>
      </c>
      <c r="X7" s="10">
        <v>0</v>
      </c>
      <c r="Y7" s="10">
        <v>0</v>
      </c>
      <c r="Z7" s="10">
        <f t="shared" si="2"/>
        <v>0</v>
      </c>
      <c r="AB7" s="58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33" x14ac:dyDescent="0.25">
      <c r="A8" s="58" t="s">
        <v>14</v>
      </c>
      <c r="B8" s="10">
        <v>329.44499999999999</v>
      </c>
      <c r="C8" s="10">
        <v>159.02000000000001</v>
      </c>
      <c r="D8" s="10">
        <v>11.89</v>
      </c>
      <c r="E8" s="10">
        <v>20</v>
      </c>
      <c r="F8" s="10">
        <v>0</v>
      </c>
      <c r="G8" s="10">
        <v>0</v>
      </c>
      <c r="H8" s="10">
        <v>30.48</v>
      </c>
      <c r="I8" s="10">
        <v>0</v>
      </c>
      <c r="J8" s="10">
        <f t="shared" si="0"/>
        <v>62.370000000000005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 t="shared" si="1"/>
        <v>0</v>
      </c>
      <c r="X8" s="10">
        <v>0</v>
      </c>
      <c r="Y8" s="10">
        <v>0</v>
      </c>
      <c r="Z8" s="10">
        <f t="shared" si="2"/>
        <v>0</v>
      </c>
      <c r="AB8" s="58" t="s">
        <v>14</v>
      </c>
      <c r="AC8" s="19">
        <f t="shared" si="3"/>
        <v>0.59808291049043716</v>
      </c>
      <c r="AD8" s="19">
        <f t="shared" si="3"/>
        <v>0.28868899035101253</v>
      </c>
      <c r="AE8" s="19">
        <f t="shared" si="4"/>
        <v>0.1132280991585502</v>
      </c>
      <c r="AF8" s="19">
        <f t="shared" si="5"/>
        <v>0</v>
      </c>
      <c r="AG8" s="19">
        <f t="shared" si="6"/>
        <v>0</v>
      </c>
    </row>
    <row r="9" spans="1:33" x14ac:dyDescent="0.25">
      <c r="A9" s="58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0</v>
      </c>
      <c r="X9" s="10">
        <v>0</v>
      </c>
      <c r="Y9" s="10">
        <v>0</v>
      </c>
      <c r="Z9" s="10">
        <f t="shared" si="2"/>
        <v>0</v>
      </c>
      <c r="AB9" s="58" t="s">
        <v>36</v>
      </c>
      <c r="AC9" s="19" t="str">
        <f t="shared" si="3"/>
        <v/>
      </c>
      <c r="AD9" s="19" t="str">
        <f t="shared" si="3"/>
        <v/>
      </c>
      <c r="AE9" s="19" t="str">
        <f t="shared" si="4"/>
        <v/>
      </c>
      <c r="AF9" s="19" t="str">
        <f t="shared" si="5"/>
        <v/>
      </c>
      <c r="AG9" s="19" t="str">
        <f t="shared" si="6"/>
        <v/>
      </c>
    </row>
    <row r="10" spans="1:33" x14ac:dyDescent="0.25">
      <c r="A10" s="58" t="s">
        <v>39</v>
      </c>
      <c r="B10" s="10">
        <v>17.690000000000001</v>
      </c>
      <c r="C10" s="10">
        <v>5.09</v>
      </c>
      <c r="D10" s="10">
        <v>14.02</v>
      </c>
      <c r="E10" s="10">
        <v>0</v>
      </c>
      <c r="F10" s="10">
        <v>21.94</v>
      </c>
      <c r="G10" s="10">
        <v>0</v>
      </c>
      <c r="H10" s="10">
        <v>0</v>
      </c>
      <c r="I10" s="10">
        <v>0</v>
      </c>
      <c r="J10" s="10">
        <f t="shared" si="0"/>
        <v>35.96</v>
      </c>
      <c r="K10" s="10">
        <v>41.91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41.91</v>
      </c>
      <c r="X10" s="10">
        <v>0</v>
      </c>
      <c r="Y10" s="10">
        <v>0</v>
      </c>
      <c r="Z10" s="10">
        <f t="shared" si="2"/>
        <v>0</v>
      </c>
      <c r="AB10" s="58" t="s">
        <v>39</v>
      </c>
      <c r="AC10" s="19">
        <f t="shared" si="3"/>
        <v>0.17575757575757575</v>
      </c>
      <c r="AD10" s="19">
        <f t="shared" si="3"/>
        <v>5.0571286636860405E-2</v>
      </c>
      <c r="AE10" s="19">
        <f t="shared" si="4"/>
        <v>0.35727769498261303</v>
      </c>
      <c r="AF10" s="19">
        <f t="shared" si="5"/>
        <v>0.41639344262295075</v>
      </c>
      <c r="AG10" s="19">
        <f t="shared" si="6"/>
        <v>0</v>
      </c>
    </row>
    <row r="11" spans="1:33" ht="15.75" customHeight="1" x14ac:dyDescent="0.25">
      <c r="A11" s="58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10">
        <v>0</v>
      </c>
      <c r="Y11" s="10">
        <v>0</v>
      </c>
      <c r="Z11" s="10">
        <f t="shared" si="2"/>
        <v>0</v>
      </c>
      <c r="AB11" s="58" t="s">
        <v>18</v>
      </c>
      <c r="AC11" s="19" t="str">
        <f t="shared" si="3"/>
        <v/>
      </c>
      <c r="AD11" s="19" t="str">
        <f t="shared" si="3"/>
        <v/>
      </c>
      <c r="AE11" s="19" t="str">
        <f t="shared" si="4"/>
        <v/>
      </c>
      <c r="AF11" s="19" t="str">
        <f t="shared" si="5"/>
        <v/>
      </c>
      <c r="AG11" s="19" t="str">
        <f t="shared" si="6"/>
        <v/>
      </c>
    </row>
    <row r="12" spans="1:33" ht="15.75" customHeight="1" x14ac:dyDescent="0.25">
      <c r="A12" s="58" t="s">
        <v>19</v>
      </c>
      <c r="B12" s="10">
        <v>211.39</v>
      </c>
      <c r="C12" s="10">
        <v>90.82</v>
      </c>
      <c r="D12" s="10">
        <v>13.35</v>
      </c>
      <c r="E12" s="10">
        <v>35.69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49.04</v>
      </c>
      <c r="K12" s="10">
        <v>85.91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88.56</v>
      </c>
      <c r="U12" s="10">
        <v>0</v>
      </c>
      <c r="V12" s="10">
        <v>0</v>
      </c>
      <c r="W12" s="10">
        <f t="shared" si="1"/>
        <v>174.47</v>
      </c>
      <c r="X12" s="10">
        <v>0</v>
      </c>
      <c r="Y12" s="10">
        <v>0</v>
      </c>
      <c r="Z12" s="10">
        <f t="shared" si="2"/>
        <v>0</v>
      </c>
      <c r="AB12" s="58" t="s">
        <v>19</v>
      </c>
      <c r="AC12" s="19">
        <f t="shared" si="3"/>
        <v>0.40209617286768617</v>
      </c>
      <c r="AD12" s="19">
        <f t="shared" si="3"/>
        <v>0.17275355702655404</v>
      </c>
      <c r="AE12" s="19">
        <f t="shared" si="4"/>
        <v>9.3281594765274284E-2</v>
      </c>
      <c r="AF12" s="19">
        <f t="shared" si="5"/>
        <v>0.33186867534048542</v>
      </c>
      <c r="AG12" s="19">
        <f t="shared" si="6"/>
        <v>0</v>
      </c>
    </row>
    <row r="13" spans="1:33" x14ac:dyDescent="0.25">
      <c r="A13" s="58" t="s">
        <v>23</v>
      </c>
      <c r="B13" s="10">
        <v>1.61</v>
      </c>
      <c r="C13" s="10">
        <v>6.1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0</v>
      </c>
      <c r="X13" s="10">
        <v>0</v>
      </c>
      <c r="Y13" s="10">
        <v>0</v>
      </c>
      <c r="Z13" s="10">
        <f t="shared" si="2"/>
        <v>0</v>
      </c>
      <c r="AB13" s="58" t="s">
        <v>23</v>
      </c>
      <c r="AC13" s="19">
        <f t="shared" si="3"/>
        <v>0.20881971465629054</v>
      </c>
      <c r="AD13" s="19">
        <f t="shared" si="3"/>
        <v>0.79118028534370943</v>
      </c>
      <c r="AE13" s="19">
        <f t="shared" si="4"/>
        <v>0</v>
      </c>
      <c r="AF13" s="19">
        <f t="shared" si="5"/>
        <v>0</v>
      </c>
      <c r="AG13" s="19">
        <f t="shared" si="6"/>
        <v>0</v>
      </c>
    </row>
    <row r="14" spans="1:33" x14ac:dyDescent="0.25">
      <c r="A14" s="58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0</v>
      </c>
      <c r="X14" s="10">
        <v>0</v>
      </c>
      <c r="Y14" s="10">
        <v>0</v>
      </c>
      <c r="Z14" s="10">
        <f t="shared" si="2"/>
        <v>0</v>
      </c>
      <c r="AB14" s="58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33" x14ac:dyDescent="0.25">
      <c r="A15" s="58" t="s">
        <v>160</v>
      </c>
      <c r="B15" s="10">
        <v>5.57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0</v>
      </c>
      <c r="X15" s="10">
        <v>0</v>
      </c>
      <c r="Y15" s="10">
        <v>0</v>
      </c>
      <c r="Z15" s="10">
        <f t="shared" si="2"/>
        <v>0</v>
      </c>
      <c r="AB15" s="58" t="s">
        <v>160</v>
      </c>
      <c r="AC15" s="19">
        <f t="shared" si="3"/>
        <v>1</v>
      </c>
      <c r="AD15" s="19">
        <f t="shared" si="3"/>
        <v>0</v>
      </c>
      <c r="AE15" s="19">
        <f t="shared" si="4"/>
        <v>0</v>
      </c>
      <c r="AF15" s="19">
        <f t="shared" si="5"/>
        <v>0</v>
      </c>
      <c r="AG15" s="19">
        <f t="shared" si="6"/>
        <v>0</v>
      </c>
    </row>
    <row r="16" spans="1:33" x14ac:dyDescent="0.25">
      <c r="A16" s="58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1"/>
        <v>0</v>
      </c>
      <c r="X16" s="10">
        <v>0</v>
      </c>
      <c r="Y16" s="10">
        <v>0</v>
      </c>
      <c r="Z16" s="10">
        <f t="shared" si="2"/>
        <v>0</v>
      </c>
      <c r="AB16" s="58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58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89.95</v>
      </c>
      <c r="U17" s="10">
        <v>0</v>
      </c>
      <c r="V17" s="10">
        <v>0</v>
      </c>
      <c r="W17" s="10">
        <f t="shared" si="1"/>
        <v>89.95</v>
      </c>
      <c r="X17" s="10">
        <v>0</v>
      </c>
      <c r="Y17" s="10">
        <v>0</v>
      </c>
      <c r="Z17" s="10">
        <f t="shared" si="2"/>
        <v>0</v>
      </c>
      <c r="AB17" s="58" t="s">
        <v>89</v>
      </c>
      <c r="AC17" s="19">
        <f t="shared" si="3"/>
        <v>0</v>
      </c>
      <c r="AD17" s="19">
        <f t="shared" si="3"/>
        <v>0</v>
      </c>
      <c r="AE17" s="19">
        <f t="shared" si="4"/>
        <v>0</v>
      </c>
      <c r="AF17" s="19">
        <f t="shared" si="5"/>
        <v>1</v>
      </c>
      <c r="AG17" s="19">
        <f t="shared" si="6"/>
        <v>0</v>
      </c>
    </row>
    <row r="18" spans="1:33" x14ac:dyDescent="0.25">
      <c r="A18" s="58" t="s">
        <v>32</v>
      </c>
      <c r="B18" s="10">
        <v>226.48666666666699</v>
      </c>
      <c r="C18" s="10">
        <v>296.36</v>
      </c>
      <c r="D18" s="10">
        <v>185.875</v>
      </c>
      <c r="E18" s="10">
        <v>267.16000000000003</v>
      </c>
      <c r="F18" s="10">
        <v>244.43666666666701</v>
      </c>
      <c r="G18" s="10">
        <v>165.59</v>
      </c>
      <c r="H18" s="10">
        <v>99.16</v>
      </c>
      <c r="I18" s="10">
        <v>152.74</v>
      </c>
      <c r="J18" s="10">
        <f t="shared" si="0"/>
        <v>1114.961666666667</v>
      </c>
      <c r="K18" s="10">
        <v>87.43</v>
      </c>
      <c r="L18" s="10">
        <v>46.56</v>
      </c>
      <c r="M18" s="10">
        <v>157.99</v>
      </c>
      <c r="N18" s="10">
        <v>59.75</v>
      </c>
      <c r="O18" s="10">
        <v>0</v>
      </c>
      <c r="P18" s="10">
        <v>0</v>
      </c>
      <c r="Q18" s="10">
        <v>145.97</v>
      </c>
      <c r="R18" s="10">
        <v>0</v>
      </c>
      <c r="S18" s="10">
        <v>243.01</v>
      </c>
      <c r="T18" s="10">
        <v>0</v>
      </c>
      <c r="U18" s="10">
        <v>185.86</v>
      </c>
      <c r="V18" s="10">
        <v>0</v>
      </c>
      <c r="W18" s="10">
        <f t="shared" si="1"/>
        <v>926.57</v>
      </c>
      <c r="X18" s="10">
        <v>269.83</v>
      </c>
      <c r="Y18" s="10">
        <v>283.23</v>
      </c>
      <c r="Z18" s="10">
        <f t="shared" si="2"/>
        <v>553.05999999999995</v>
      </c>
      <c r="AB18" s="58" t="s">
        <v>32</v>
      </c>
      <c r="AC18" s="19">
        <f t="shared" si="3"/>
        <v>7.26515306637983E-2</v>
      </c>
      <c r="AD18" s="19">
        <f t="shared" si="3"/>
        <v>9.5065232511950232E-2</v>
      </c>
      <c r="AE18" s="19">
        <f t="shared" si="4"/>
        <v>0.35765315860297697</v>
      </c>
      <c r="AF18" s="19">
        <f t="shared" si="5"/>
        <v>0.29722159700566114</v>
      </c>
      <c r="AG18" s="19">
        <f t="shared" si="6"/>
        <v>0.1774084812156134</v>
      </c>
    </row>
    <row r="19" spans="1:33" x14ac:dyDescent="0.25">
      <c r="A19" s="58" t="s">
        <v>90</v>
      </c>
      <c r="B19" s="10">
        <v>1.71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1"/>
        <v>0</v>
      </c>
      <c r="X19" s="10">
        <v>0</v>
      </c>
      <c r="Y19" s="10">
        <v>0</v>
      </c>
      <c r="Z19" s="10">
        <f t="shared" si="2"/>
        <v>0</v>
      </c>
      <c r="AB19" s="58" t="s">
        <v>90</v>
      </c>
      <c r="AC19" s="19">
        <f t="shared" si="3"/>
        <v>1</v>
      </c>
      <c r="AD19" s="19">
        <f t="shared" si="3"/>
        <v>0</v>
      </c>
      <c r="AE19" s="19">
        <f t="shared" si="4"/>
        <v>0</v>
      </c>
      <c r="AF19" s="19">
        <f t="shared" si="5"/>
        <v>0</v>
      </c>
      <c r="AG19" s="19">
        <f t="shared" si="6"/>
        <v>0</v>
      </c>
    </row>
    <row r="20" spans="1:33" x14ac:dyDescent="0.25">
      <c r="A20" s="58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0</v>
      </c>
      <c r="X20" s="10">
        <v>0</v>
      </c>
      <c r="Y20" s="10">
        <v>0</v>
      </c>
      <c r="Z20" s="10">
        <f t="shared" si="2"/>
        <v>0</v>
      </c>
      <c r="AB20" s="58" t="s">
        <v>91</v>
      </c>
      <c r="AC20" s="19" t="str">
        <f t="shared" si="3"/>
        <v/>
      </c>
      <c r="AD20" s="19" t="str">
        <f t="shared" si="3"/>
        <v/>
      </c>
      <c r="AE20" s="19" t="str">
        <f t="shared" si="4"/>
        <v/>
      </c>
      <c r="AF20" s="19" t="str">
        <f t="shared" si="5"/>
        <v/>
      </c>
      <c r="AG20" s="19" t="str">
        <f t="shared" si="6"/>
        <v/>
      </c>
    </row>
    <row r="21" spans="1:33" x14ac:dyDescent="0.25">
      <c r="A21" s="52" t="s">
        <v>33</v>
      </c>
      <c r="B21" s="53">
        <v>1347.69366666667</v>
      </c>
      <c r="C21" s="53">
        <v>1075.42</v>
      </c>
      <c r="D21" s="53">
        <v>549.56500000000005</v>
      </c>
      <c r="E21" s="53">
        <v>662.54</v>
      </c>
      <c r="F21" s="53">
        <v>790.86166666666702</v>
      </c>
      <c r="G21" s="53">
        <v>355.9</v>
      </c>
      <c r="H21" s="53">
        <v>426.7</v>
      </c>
      <c r="I21" s="53">
        <v>377.47</v>
      </c>
      <c r="J21" s="115">
        <f t="shared" si="0"/>
        <v>3163.0366666666669</v>
      </c>
      <c r="K21" s="53">
        <v>509.51499999999999</v>
      </c>
      <c r="L21" s="53">
        <v>235</v>
      </c>
      <c r="M21" s="53">
        <v>265.79000000000002</v>
      </c>
      <c r="N21" s="53">
        <v>173.08</v>
      </c>
      <c r="O21" s="53">
        <v>60.5</v>
      </c>
      <c r="P21" s="53">
        <v>65.7</v>
      </c>
      <c r="Q21" s="53">
        <v>217.58</v>
      </c>
      <c r="R21" s="53">
        <v>381.19</v>
      </c>
      <c r="S21" s="53">
        <v>326.39</v>
      </c>
      <c r="T21" s="53">
        <v>268.44</v>
      </c>
      <c r="U21" s="53">
        <v>462.54</v>
      </c>
      <c r="V21" s="53">
        <v>196.54</v>
      </c>
      <c r="W21" s="115">
        <f t="shared" si="1"/>
        <v>3162.2649999999999</v>
      </c>
      <c r="X21" s="53">
        <v>1049.77</v>
      </c>
      <c r="Y21" s="53">
        <v>1217.71</v>
      </c>
      <c r="Z21" s="115">
        <f t="shared" si="2"/>
        <v>2267.48</v>
      </c>
      <c r="AB21" s="52" t="s">
        <v>33</v>
      </c>
      <c r="AC21" s="65">
        <f t="shared" si="3"/>
        <v>0.12234081986859864</v>
      </c>
      <c r="AD21" s="65">
        <f t="shared" si="3"/>
        <v>9.7624384351751567E-2</v>
      </c>
      <c r="AE21" s="134">
        <f t="shared" si="4"/>
        <v>0.28713387073455005</v>
      </c>
      <c r="AF21" s="134">
        <f t="shared" si="5"/>
        <v>0.28706382044419076</v>
      </c>
      <c r="AG21" s="134">
        <f t="shared" si="6"/>
        <v>0.20583710460090909</v>
      </c>
    </row>
    <row r="24" spans="1:33" x14ac:dyDescent="0.25">
      <c r="A24" s="87" t="s">
        <v>140</v>
      </c>
      <c r="AB24" s="87" t="s">
        <v>140</v>
      </c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114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114" t="s">
        <v>94</v>
      </c>
      <c r="X25" s="51" t="s">
        <v>81</v>
      </c>
      <c r="Y25" s="51" t="s">
        <v>82</v>
      </c>
      <c r="Z25" s="114" t="s">
        <v>95</v>
      </c>
      <c r="AB25" s="50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58" t="s">
        <v>4</v>
      </c>
      <c r="B26" s="10">
        <v>344</v>
      </c>
      <c r="C26" s="10">
        <v>73</v>
      </c>
      <c r="D26" s="10">
        <v>26</v>
      </c>
      <c r="E26" s="10">
        <v>19</v>
      </c>
      <c r="F26" s="10">
        <v>24</v>
      </c>
      <c r="G26" s="10">
        <v>7</v>
      </c>
      <c r="H26" s="10">
        <v>9</v>
      </c>
      <c r="I26" s="10">
        <v>6</v>
      </c>
      <c r="J26" s="10">
        <f>SUM(D26:I26)</f>
        <v>91</v>
      </c>
      <c r="K26" s="10">
        <v>7</v>
      </c>
      <c r="L26" s="10">
        <v>4</v>
      </c>
      <c r="M26" s="10">
        <v>2</v>
      </c>
      <c r="N26" s="10">
        <v>2</v>
      </c>
      <c r="O26" s="10">
        <v>1</v>
      </c>
      <c r="P26" s="10">
        <v>1</v>
      </c>
      <c r="Q26" s="10">
        <v>1</v>
      </c>
      <c r="R26" s="10">
        <v>5</v>
      </c>
      <c r="S26" s="10">
        <v>1</v>
      </c>
      <c r="T26" s="10">
        <v>1</v>
      </c>
      <c r="U26" s="10">
        <v>3</v>
      </c>
      <c r="V26" s="10">
        <v>2</v>
      </c>
      <c r="W26" s="10">
        <f>SUM(K26:V26)</f>
        <v>30</v>
      </c>
      <c r="X26" s="10">
        <v>7</v>
      </c>
      <c r="Y26" s="10">
        <v>5</v>
      </c>
      <c r="Z26" s="10">
        <f>SUM(X26:Y26)</f>
        <v>12</v>
      </c>
      <c r="AB26" s="58" t="s">
        <v>4</v>
      </c>
      <c r="AC26" s="19">
        <f>IFERROR(B26/SUM($B26+$C26+$J26+$W26+$Z26),"")</f>
        <v>0.62545454545454549</v>
      </c>
      <c r="AD26" s="19">
        <f>IFERROR(C26/SUM($B26+$C26+$J26+$W26+$Z26),"")</f>
        <v>0.13272727272727272</v>
      </c>
      <c r="AE26" s="19">
        <f>IFERROR(J26/SUM($B26+$C26+$J26+$W26+$Z26),"")</f>
        <v>0.16545454545454547</v>
      </c>
      <c r="AF26" s="19">
        <f>IFERROR(W26/SUM($B26+$C26+$J26+$W26+$Z26),"")</f>
        <v>5.4545454545454543E-2</v>
      </c>
      <c r="AG26" s="19">
        <f>IFERROR(Z26/SUM($B26+$C26+$J26+$W26+$Z26),"")</f>
        <v>2.181818181818182E-2</v>
      </c>
    </row>
    <row r="27" spans="1:33" x14ac:dyDescent="0.25">
      <c r="A27" s="58" t="s">
        <v>43</v>
      </c>
      <c r="B27" s="10">
        <v>9</v>
      </c>
      <c r="C27" s="10">
        <v>0</v>
      </c>
      <c r="D27" s="10">
        <v>1</v>
      </c>
      <c r="E27" s="10">
        <v>1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42" si="7">SUM(D27:I27)</f>
        <v>2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42" si="8">SUM(K27:V27)</f>
        <v>0</v>
      </c>
      <c r="X27" s="10">
        <v>0</v>
      </c>
      <c r="Y27" s="10">
        <v>0</v>
      </c>
      <c r="Z27" s="10">
        <f t="shared" ref="Z27:Z42" si="9">SUM(X27:Y27)</f>
        <v>0</v>
      </c>
      <c r="AB27" s="58" t="s">
        <v>43</v>
      </c>
      <c r="AC27" s="19">
        <f t="shared" ref="AC27:AD42" si="10">IFERROR(B27/SUM($B27+$C27+$J27+$W27+$Z27),"")</f>
        <v>0.81818181818181823</v>
      </c>
      <c r="AD27" s="19">
        <f t="shared" si="10"/>
        <v>0</v>
      </c>
      <c r="AE27" s="19">
        <f t="shared" ref="AE27:AE42" si="11">IFERROR(J27/SUM($B27+$C27+$J27+$W27+$Z27),"")</f>
        <v>0.18181818181818182</v>
      </c>
      <c r="AF27" s="19">
        <f t="shared" ref="AF27:AF42" si="12">IFERROR(W27/SUM($B27+$C27+$J27+$W27+$Z27),"")</f>
        <v>0</v>
      </c>
      <c r="AG27" s="19">
        <f t="shared" ref="AG27:AG42" si="13">IFERROR(Z27/SUM($B27+$C27+$J27+$W27+$Z27),"")</f>
        <v>0</v>
      </c>
    </row>
    <row r="28" spans="1:33" x14ac:dyDescent="0.25">
      <c r="A28" s="58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7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8"/>
        <v>0</v>
      </c>
      <c r="X28" s="10">
        <v>0</v>
      </c>
      <c r="Y28" s="10">
        <v>0</v>
      </c>
      <c r="Z28" s="10">
        <f t="shared" si="9"/>
        <v>0</v>
      </c>
      <c r="AB28" s="58" t="s">
        <v>13</v>
      </c>
      <c r="AC28" s="19" t="str">
        <f t="shared" si="10"/>
        <v/>
      </c>
      <c r="AD28" s="19" t="str">
        <f t="shared" si="10"/>
        <v/>
      </c>
      <c r="AE28" s="19" t="str">
        <f t="shared" si="11"/>
        <v/>
      </c>
      <c r="AF28" s="19" t="str">
        <f t="shared" si="12"/>
        <v/>
      </c>
      <c r="AG28" s="19" t="str">
        <f t="shared" si="13"/>
        <v/>
      </c>
    </row>
    <row r="29" spans="1:33" x14ac:dyDescent="0.25">
      <c r="A29" s="58" t="s">
        <v>14</v>
      </c>
      <c r="B29" s="10">
        <v>338</v>
      </c>
      <c r="C29" s="10">
        <v>23</v>
      </c>
      <c r="D29" s="10">
        <v>1</v>
      </c>
      <c r="E29" s="10">
        <v>1</v>
      </c>
      <c r="F29" s="10">
        <v>0</v>
      </c>
      <c r="G29" s="10">
        <v>0</v>
      </c>
      <c r="H29" s="10">
        <v>1</v>
      </c>
      <c r="I29" s="10">
        <v>0</v>
      </c>
      <c r="J29" s="10">
        <f t="shared" si="7"/>
        <v>3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 t="shared" si="8"/>
        <v>0</v>
      </c>
      <c r="X29" s="10">
        <v>0</v>
      </c>
      <c r="Y29" s="10">
        <v>0</v>
      </c>
      <c r="Z29" s="10">
        <f t="shared" si="9"/>
        <v>0</v>
      </c>
      <c r="AB29" s="58" t="s">
        <v>14</v>
      </c>
      <c r="AC29" s="19">
        <f t="shared" si="10"/>
        <v>0.9285714285714286</v>
      </c>
      <c r="AD29" s="19">
        <f t="shared" si="10"/>
        <v>6.3186813186813184E-2</v>
      </c>
      <c r="AE29" s="19">
        <f t="shared" si="11"/>
        <v>8.241758241758242E-3</v>
      </c>
      <c r="AF29" s="19">
        <f t="shared" si="12"/>
        <v>0</v>
      </c>
      <c r="AG29" s="19">
        <f t="shared" si="13"/>
        <v>0</v>
      </c>
    </row>
    <row r="30" spans="1:33" x14ac:dyDescent="0.25">
      <c r="A30" s="58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7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8"/>
        <v>0</v>
      </c>
      <c r="X30" s="10">
        <v>0</v>
      </c>
      <c r="Y30" s="10">
        <v>0</v>
      </c>
      <c r="Z30" s="10">
        <f t="shared" si="9"/>
        <v>0</v>
      </c>
      <c r="AB30" s="58" t="s">
        <v>36</v>
      </c>
      <c r="AC30" s="19" t="str">
        <f t="shared" si="10"/>
        <v/>
      </c>
      <c r="AD30" s="19" t="str">
        <f t="shared" si="10"/>
        <v/>
      </c>
      <c r="AE30" s="19" t="str">
        <f t="shared" si="11"/>
        <v/>
      </c>
      <c r="AF30" s="19" t="str">
        <f t="shared" si="12"/>
        <v/>
      </c>
      <c r="AG30" s="19" t="str">
        <f t="shared" si="13"/>
        <v/>
      </c>
    </row>
    <row r="31" spans="1:33" x14ac:dyDescent="0.25">
      <c r="A31" s="58" t="s">
        <v>39</v>
      </c>
      <c r="B31" s="10">
        <v>9</v>
      </c>
      <c r="C31" s="10">
        <v>1</v>
      </c>
      <c r="D31" s="10">
        <v>1</v>
      </c>
      <c r="E31" s="10">
        <v>0</v>
      </c>
      <c r="F31" s="10">
        <v>1</v>
      </c>
      <c r="G31" s="10">
        <v>0</v>
      </c>
      <c r="H31" s="10">
        <v>0</v>
      </c>
      <c r="I31" s="10">
        <v>0</v>
      </c>
      <c r="J31" s="10">
        <f t="shared" si="7"/>
        <v>2</v>
      </c>
      <c r="K31" s="10">
        <v>1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8"/>
        <v>1</v>
      </c>
      <c r="X31" s="10">
        <v>0</v>
      </c>
      <c r="Y31" s="10">
        <v>0</v>
      </c>
      <c r="Z31" s="10">
        <f t="shared" si="9"/>
        <v>0</v>
      </c>
      <c r="AB31" s="58" t="s">
        <v>39</v>
      </c>
      <c r="AC31" s="19">
        <f t="shared" si="10"/>
        <v>0.69230769230769229</v>
      </c>
      <c r="AD31" s="19">
        <f t="shared" si="10"/>
        <v>7.6923076923076927E-2</v>
      </c>
      <c r="AE31" s="19">
        <f t="shared" si="11"/>
        <v>0.15384615384615385</v>
      </c>
      <c r="AF31" s="19">
        <f t="shared" si="12"/>
        <v>7.6923076923076927E-2</v>
      </c>
      <c r="AG31" s="19">
        <f t="shared" si="13"/>
        <v>0</v>
      </c>
    </row>
    <row r="32" spans="1:33" x14ac:dyDescent="0.25">
      <c r="A32" s="58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7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8"/>
        <v>0</v>
      </c>
      <c r="X32" s="10">
        <v>0</v>
      </c>
      <c r="Y32" s="10">
        <v>0</v>
      </c>
      <c r="Z32" s="10">
        <f t="shared" si="9"/>
        <v>0</v>
      </c>
      <c r="AB32" s="58" t="s">
        <v>18</v>
      </c>
      <c r="AC32" s="19" t="str">
        <f t="shared" si="10"/>
        <v/>
      </c>
      <c r="AD32" s="19" t="str">
        <f t="shared" si="10"/>
        <v/>
      </c>
      <c r="AE32" s="19" t="str">
        <f t="shared" si="11"/>
        <v/>
      </c>
      <c r="AF32" s="19" t="str">
        <f t="shared" si="12"/>
        <v/>
      </c>
      <c r="AG32" s="19" t="str">
        <f t="shared" si="13"/>
        <v/>
      </c>
    </row>
    <row r="33" spans="1:33" x14ac:dyDescent="0.25">
      <c r="A33" s="58" t="s">
        <v>19</v>
      </c>
      <c r="B33" s="10">
        <v>314</v>
      </c>
      <c r="C33" s="10">
        <v>14</v>
      </c>
      <c r="D33" s="10">
        <v>1</v>
      </c>
      <c r="E33" s="10">
        <v>2</v>
      </c>
      <c r="F33" s="10">
        <v>0</v>
      </c>
      <c r="G33" s="10">
        <v>0</v>
      </c>
      <c r="H33" s="10">
        <v>0</v>
      </c>
      <c r="I33" s="10">
        <v>0</v>
      </c>
      <c r="J33" s="10">
        <f t="shared" si="7"/>
        <v>3</v>
      </c>
      <c r="K33" s="10">
        <v>2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1</v>
      </c>
      <c r="U33" s="10">
        <v>0</v>
      </c>
      <c r="V33" s="10">
        <v>0</v>
      </c>
      <c r="W33" s="10">
        <f t="shared" si="8"/>
        <v>3</v>
      </c>
      <c r="X33" s="10">
        <v>0</v>
      </c>
      <c r="Y33" s="10">
        <v>0</v>
      </c>
      <c r="Z33" s="10">
        <f t="shared" si="9"/>
        <v>0</v>
      </c>
      <c r="AB33" s="58" t="s">
        <v>19</v>
      </c>
      <c r="AC33" s="19">
        <f t="shared" si="10"/>
        <v>0.94011976047904189</v>
      </c>
      <c r="AD33" s="19">
        <f t="shared" si="10"/>
        <v>4.1916167664670656E-2</v>
      </c>
      <c r="AE33" s="19">
        <f t="shared" si="11"/>
        <v>8.9820359281437123E-3</v>
      </c>
      <c r="AF33" s="19">
        <f t="shared" si="12"/>
        <v>8.9820359281437123E-3</v>
      </c>
      <c r="AG33" s="19">
        <f t="shared" si="13"/>
        <v>0</v>
      </c>
    </row>
    <row r="34" spans="1:33" x14ac:dyDescent="0.25">
      <c r="A34" s="58" t="s">
        <v>23</v>
      </c>
      <c r="B34" s="10">
        <v>8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7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8"/>
        <v>0</v>
      </c>
      <c r="X34" s="10">
        <v>0</v>
      </c>
      <c r="Y34" s="10">
        <v>0</v>
      </c>
      <c r="Z34" s="10">
        <f t="shared" si="9"/>
        <v>0</v>
      </c>
      <c r="AB34" s="58" t="s">
        <v>23</v>
      </c>
      <c r="AC34" s="19">
        <f t="shared" si="10"/>
        <v>0.88888888888888884</v>
      </c>
      <c r="AD34" s="19">
        <f t="shared" si="10"/>
        <v>0.1111111111111111</v>
      </c>
      <c r="AE34" s="19">
        <f t="shared" si="11"/>
        <v>0</v>
      </c>
      <c r="AF34" s="19">
        <f t="shared" si="12"/>
        <v>0</v>
      </c>
      <c r="AG34" s="19">
        <f t="shared" si="13"/>
        <v>0</v>
      </c>
    </row>
    <row r="35" spans="1:33" x14ac:dyDescent="0.25">
      <c r="A35" s="58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7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8"/>
        <v>0</v>
      </c>
      <c r="X35" s="10">
        <v>0</v>
      </c>
      <c r="Y35" s="10">
        <v>0</v>
      </c>
      <c r="Z35" s="10">
        <f t="shared" si="9"/>
        <v>0</v>
      </c>
      <c r="AB35" s="58" t="s">
        <v>26</v>
      </c>
      <c r="AC35" s="19" t="str">
        <f t="shared" si="10"/>
        <v/>
      </c>
      <c r="AD35" s="19" t="str">
        <f t="shared" si="10"/>
        <v/>
      </c>
      <c r="AE35" s="19" t="str">
        <f t="shared" si="11"/>
        <v/>
      </c>
      <c r="AF35" s="19" t="str">
        <f t="shared" si="12"/>
        <v/>
      </c>
      <c r="AG35" s="19" t="str">
        <f t="shared" si="13"/>
        <v/>
      </c>
    </row>
    <row r="36" spans="1:33" x14ac:dyDescent="0.25">
      <c r="A36" s="58" t="s">
        <v>160</v>
      </c>
      <c r="B36" s="10">
        <v>6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7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8"/>
        <v>0</v>
      </c>
      <c r="X36" s="10">
        <v>0</v>
      </c>
      <c r="Y36" s="10">
        <v>0</v>
      </c>
      <c r="Z36" s="10">
        <f t="shared" si="9"/>
        <v>0</v>
      </c>
      <c r="AB36" s="58" t="s">
        <v>160</v>
      </c>
      <c r="AC36" s="19">
        <f t="shared" si="10"/>
        <v>1</v>
      </c>
      <c r="AD36" s="19">
        <f t="shared" si="10"/>
        <v>0</v>
      </c>
      <c r="AE36" s="19">
        <f t="shared" si="11"/>
        <v>0</v>
      </c>
      <c r="AF36" s="19">
        <f t="shared" si="12"/>
        <v>0</v>
      </c>
      <c r="AG36" s="19">
        <f t="shared" si="13"/>
        <v>0</v>
      </c>
    </row>
    <row r="37" spans="1:33" x14ac:dyDescent="0.25">
      <c r="A37" s="58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7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8"/>
        <v>0</v>
      </c>
      <c r="X37" s="10">
        <v>0</v>
      </c>
      <c r="Y37" s="10">
        <v>0</v>
      </c>
      <c r="Z37" s="10">
        <f t="shared" si="9"/>
        <v>0</v>
      </c>
      <c r="AB37" s="58" t="s">
        <v>161</v>
      </c>
      <c r="AC37" s="19" t="str">
        <f t="shared" si="10"/>
        <v/>
      </c>
      <c r="AD37" s="19" t="str">
        <f t="shared" si="10"/>
        <v/>
      </c>
      <c r="AE37" s="19" t="str">
        <f t="shared" si="11"/>
        <v/>
      </c>
      <c r="AF37" s="19" t="str">
        <f t="shared" si="12"/>
        <v/>
      </c>
      <c r="AG37" s="19" t="str">
        <f t="shared" si="13"/>
        <v/>
      </c>
    </row>
    <row r="38" spans="1:33" x14ac:dyDescent="0.25">
      <c r="A38" s="58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7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1</v>
      </c>
      <c r="U38" s="10">
        <v>0</v>
      </c>
      <c r="V38" s="10">
        <v>0</v>
      </c>
      <c r="W38" s="10">
        <f t="shared" si="8"/>
        <v>1</v>
      </c>
      <c r="X38" s="10">
        <v>0</v>
      </c>
      <c r="Y38" s="10">
        <v>0</v>
      </c>
      <c r="Z38" s="10">
        <f t="shared" si="9"/>
        <v>0</v>
      </c>
      <c r="AB38" s="58" t="s">
        <v>89</v>
      </c>
      <c r="AC38" s="19">
        <f t="shared" si="10"/>
        <v>0</v>
      </c>
      <c r="AD38" s="19">
        <f t="shared" si="10"/>
        <v>0</v>
      </c>
      <c r="AE38" s="19">
        <f t="shared" si="11"/>
        <v>0</v>
      </c>
      <c r="AF38" s="19">
        <f t="shared" si="12"/>
        <v>1</v>
      </c>
      <c r="AG38" s="19">
        <f t="shared" si="13"/>
        <v>0</v>
      </c>
    </row>
    <row r="39" spans="1:33" x14ac:dyDescent="0.25">
      <c r="A39" s="58" t="s">
        <v>32</v>
      </c>
      <c r="B39" s="10">
        <v>112</v>
      </c>
      <c r="C39" s="10">
        <v>40</v>
      </c>
      <c r="D39" s="10">
        <v>16</v>
      </c>
      <c r="E39" s="10">
        <v>16</v>
      </c>
      <c r="F39" s="10">
        <v>11</v>
      </c>
      <c r="G39" s="10">
        <v>6</v>
      </c>
      <c r="H39" s="10">
        <v>3</v>
      </c>
      <c r="I39" s="10">
        <v>4</v>
      </c>
      <c r="J39" s="10">
        <f t="shared" si="7"/>
        <v>56</v>
      </c>
      <c r="K39" s="10">
        <v>2</v>
      </c>
      <c r="L39" s="10">
        <v>1</v>
      </c>
      <c r="M39" s="10">
        <v>3</v>
      </c>
      <c r="N39" s="10">
        <v>1</v>
      </c>
      <c r="O39" s="10">
        <v>0</v>
      </c>
      <c r="P39" s="10">
        <v>0</v>
      </c>
      <c r="Q39" s="10">
        <v>2</v>
      </c>
      <c r="R39" s="10">
        <v>0</v>
      </c>
      <c r="S39" s="10">
        <v>3</v>
      </c>
      <c r="T39" s="10">
        <v>0</v>
      </c>
      <c r="U39" s="10">
        <v>2</v>
      </c>
      <c r="V39" s="10">
        <v>0</v>
      </c>
      <c r="W39" s="10">
        <f t="shared" si="8"/>
        <v>14</v>
      </c>
      <c r="X39" s="10">
        <v>2</v>
      </c>
      <c r="Y39" s="10">
        <v>1</v>
      </c>
      <c r="Z39" s="10">
        <f t="shared" si="9"/>
        <v>3</v>
      </c>
      <c r="AB39" s="58" t="s">
        <v>32</v>
      </c>
      <c r="AC39" s="19">
        <f t="shared" si="10"/>
        <v>0.49777777777777776</v>
      </c>
      <c r="AD39" s="19">
        <f t="shared" si="10"/>
        <v>0.17777777777777778</v>
      </c>
      <c r="AE39" s="19">
        <f t="shared" si="11"/>
        <v>0.24888888888888888</v>
      </c>
      <c r="AF39" s="19">
        <f t="shared" si="12"/>
        <v>6.222222222222222E-2</v>
      </c>
      <c r="AG39" s="19">
        <f t="shared" si="13"/>
        <v>1.3333333333333334E-2</v>
      </c>
    </row>
    <row r="40" spans="1:33" x14ac:dyDescent="0.25">
      <c r="A40" s="58" t="s">
        <v>90</v>
      </c>
      <c r="B40" s="10">
        <v>1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7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8"/>
        <v>0</v>
      </c>
      <c r="X40" s="10">
        <v>0</v>
      </c>
      <c r="Y40" s="10">
        <v>0</v>
      </c>
      <c r="Z40" s="10">
        <f t="shared" si="9"/>
        <v>0</v>
      </c>
      <c r="AB40" s="58" t="s">
        <v>90</v>
      </c>
      <c r="AC40" s="19">
        <f t="shared" si="10"/>
        <v>1</v>
      </c>
      <c r="AD40" s="19">
        <f t="shared" si="10"/>
        <v>0</v>
      </c>
      <c r="AE40" s="19">
        <f t="shared" si="11"/>
        <v>0</v>
      </c>
      <c r="AF40" s="19">
        <f t="shared" si="12"/>
        <v>0</v>
      </c>
      <c r="AG40" s="19">
        <f t="shared" si="13"/>
        <v>0</v>
      </c>
    </row>
    <row r="41" spans="1:33" x14ac:dyDescent="0.25">
      <c r="A41" s="58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7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8"/>
        <v>0</v>
      </c>
      <c r="X41" s="10">
        <v>0</v>
      </c>
      <c r="Y41" s="10">
        <v>0</v>
      </c>
      <c r="Z41" s="10">
        <f t="shared" si="9"/>
        <v>0</v>
      </c>
      <c r="AB41" s="58" t="s">
        <v>91</v>
      </c>
      <c r="AC41" s="19" t="str">
        <f t="shared" si="10"/>
        <v/>
      </c>
      <c r="AD41" s="19" t="str">
        <f t="shared" si="10"/>
        <v/>
      </c>
      <c r="AE41" s="19" t="str">
        <f t="shared" si="11"/>
        <v/>
      </c>
      <c r="AF41" s="19" t="str">
        <f t="shared" si="12"/>
        <v/>
      </c>
      <c r="AG41" s="19" t="str">
        <f t="shared" si="13"/>
        <v/>
      </c>
    </row>
    <row r="42" spans="1:33" x14ac:dyDescent="0.25">
      <c r="A42" s="52" t="s">
        <v>33</v>
      </c>
      <c r="B42" s="53">
        <v>1141</v>
      </c>
      <c r="C42" s="53">
        <v>152</v>
      </c>
      <c r="D42" s="53">
        <v>46</v>
      </c>
      <c r="E42" s="53">
        <v>39</v>
      </c>
      <c r="F42" s="53">
        <v>36</v>
      </c>
      <c r="G42" s="53">
        <v>13</v>
      </c>
      <c r="H42" s="53">
        <v>13</v>
      </c>
      <c r="I42" s="53">
        <v>10</v>
      </c>
      <c r="J42" s="115">
        <f t="shared" si="7"/>
        <v>157</v>
      </c>
      <c r="K42" s="53">
        <v>12</v>
      </c>
      <c r="L42" s="53">
        <v>5</v>
      </c>
      <c r="M42" s="53">
        <v>5</v>
      </c>
      <c r="N42" s="53">
        <v>3</v>
      </c>
      <c r="O42" s="53">
        <v>1</v>
      </c>
      <c r="P42" s="53">
        <v>1</v>
      </c>
      <c r="Q42" s="53">
        <v>3</v>
      </c>
      <c r="R42" s="53">
        <v>5</v>
      </c>
      <c r="S42" s="53">
        <v>4</v>
      </c>
      <c r="T42" s="53">
        <v>3</v>
      </c>
      <c r="U42" s="53">
        <v>5</v>
      </c>
      <c r="V42" s="53">
        <v>2</v>
      </c>
      <c r="W42" s="115">
        <f t="shared" si="8"/>
        <v>49</v>
      </c>
      <c r="X42" s="53">
        <v>9</v>
      </c>
      <c r="Y42" s="53">
        <v>6</v>
      </c>
      <c r="Z42" s="115">
        <f t="shared" si="9"/>
        <v>15</v>
      </c>
      <c r="AB42" s="52" t="s">
        <v>33</v>
      </c>
      <c r="AC42" s="65">
        <f t="shared" si="10"/>
        <v>0.75363276089828268</v>
      </c>
      <c r="AD42" s="65">
        <f t="shared" si="10"/>
        <v>0.10039630118890357</v>
      </c>
      <c r="AE42" s="134">
        <f t="shared" si="11"/>
        <v>0.10369881109643329</v>
      </c>
      <c r="AF42" s="134">
        <f t="shared" si="12"/>
        <v>3.2364597093791282E-2</v>
      </c>
      <c r="AG42" s="134">
        <f t="shared" si="13"/>
        <v>9.9075297225891673E-3</v>
      </c>
    </row>
    <row r="45" spans="1:33" x14ac:dyDescent="0.25">
      <c r="A45" s="72"/>
      <c r="B45" s="72"/>
      <c r="C45" s="98" t="s">
        <v>105</v>
      </c>
      <c r="J45" s="74" t="s">
        <v>106</v>
      </c>
    </row>
    <row r="46" spans="1:33" x14ac:dyDescent="0.25">
      <c r="A46" s="215" t="s">
        <v>4</v>
      </c>
      <c r="B46" s="97" t="s">
        <v>107</v>
      </c>
      <c r="C46" s="19">
        <v>8.2657229946488303E-2</v>
      </c>
      <c r="J46" s="77">
        <v>0.62545454545454549</v>
      </c>
    </row>
    <row r="47" spans="1:33" x14ac:dyDescent="0.25">
      <c r="A47" s="215"/>
      <c r="B47" s="78" t="s">
        <v>108</v>
      </c>
      <c r="C47" s="19">
        <v>7.8738469966053215E-2</v>
      </c>
      <c r="J47" s="77">
        <v>0.13272727272727272</v>
      </c>
    </row>
    <row r="48" spans="1:33" x14ac:dyDescent="0.25">
      <c r="A48" s="215"/>
      <c r="B48" s="97" t="s">
        <v>93</v>
      </c>
      <c r="C48" s="19">
        <v>0.28476368123284534</v>
      </c>
      <c r="J48" s="77">
        <v>0.16545454545454547</v>
      </c>
    </row>
    <row r="49" spans="1:10" x14ac:dyDescent="0.25">
      <c r="A49" s="215"/>
      <c r="B49" s="97" t="s">
        <v>109</v>
      </c>
      <c r="C49" s="77">
        <v>0.29325569582081018</v>
      </c>
      <c r="J49" s="77">
        <v>5.4545454545454543E-2</v>
      </c>
    </row>
    <row r="50" spans="1:10" x14ac:dyDescent="0.25">
      <c r="A50" s="215"/>
      <c r="B50" s="97" t="s">
        <v>95</v>
      </c>
      <c r="C50" s="77">
        <v>0.26058492303380298</v>
      </c>
      <c r="J50" s="77">
        <v>2.181818181818182E-2</v>
      </c>
    </row>
    <row r="51" spans="1:10" x14ac:dyDescent="0.25">
      <c r="A51" s="215" t="s">
        <v>14</v>
      </c>
      <c r="B51" s="97" t="s">
        <v>107</v>
      </c>
      <c r="C51" s="29">
        <v>0.59808291049043716</v>
      </c>
      <c r="J51" s="77">
        <v>0.9285714285714286</v>
      </c>
    </row>
    <row r="52" spans="1:10" x14ac:dyDescent="0.25">
      <c r="A52" s="215"/>
      <c r="B52" s="78" t="s">
        <v>108</v>
      </c>
      <c r="C52" s="29">
        <v>0.28868899035101253</v>
      </c>
      <c r="J52" s="77">
        <v>6.3186813186813184E-2</v>
      </c>
    </row>
    <row r="53" spans="1:10" x14ac:dyDescent="0.25">
      <c r="A53" s="215"/>
      <c r="B53" s="97" t="s">
        <v>93</v>
      </c>
      <c r="C53" s="29">
        <v>0.1132280991585502</v>
      </c>
      <c r="J53" s="77">
        <v>8.241758241758242E-3</v>
      </c>
    </row>
    <row r="54" spans="1:10" x14ac:dyDescent="0.25">
      <c r="A54" s="215"/>
      <c r="B54" s="97" t="s">
        <v>109</v>
      </c>
      <c r="C54" s="29">
        <v>0</v>
      </c>
      <c r="J54" s="77">
        <v>0</v>
      </c>
    </row>
    <row r="55" spans="1:10" x14ac:dyDescent="0.25">
      <c r="A55" s="215"/>
      <c r="B55" s="97" t="s">
        <v>95</v>
      </c>
      <c r="C55" s="29">
        <v>0</v>
      </c>
      <c r="J55" s="77">
        <v>0</v>
      </c>
    </row>
  </sheetData>
  <mergeCells count="4">
    <mergeCell ref="C3:D3"/>
    <mergeCell ref="AB3:AC3"/>
    <mergeCell ref="A46:A50"/>
    <mergeCell ref="A51:A55"/>
  </mergeCells>
  <hyperlinks>
    <hyperlink ref="C1" r:id="rId1" location="INDICE!A1"/>
  </hyperlinks>
  <pageMargins left="0.7" right="0.7" top="0.75" bottom="0.75" header="0.3" footer="0.3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>
      <selection activeCell="B1" sqref="B1:C1"/>
    </sheetView>
  </sheetViews>
  <sheetFormatPr baseColWidth="10" defaultRowHeight="15" x14ac:dyDescent="0.25"/>
  <cols>
    <col min="1" max="1" width="23" customWidth="1"/>
    <col min="3" max="3" width="10" bestFit="1" customWidth="1"/>
    <col min="4" max="7" width="6.7109375" hidden="1" customWidth="1"/>
    <col min="8" max="9" width="7.140625" hidden="1" customWidth="1"/>
    <col min="10" max="10" width="16.140625" bestFit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4" max="24" width="9.140625" hidden="1" customWidth="1"/>
    <col min="25" max="25" width="5.5703125" hidden="1" customWidth="1"/>
    <col min="28" max="28" width="23.7109375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218" t="s">
        <v>143</v>
      </c>
      <c r="B2" s="218"/>
    </row>
    <row r="3" spans="1:33" x14ac:dyDescent="0.25">
      <c r="A3" s="87" t="s">
        <v>139</v>
      </c>
      <c r="B3" s="87"/>
      <c r="C3" s="87"/>
      <c r="D3" s="87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114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114" t="s">
        <v>94</v>
      </c>
      <c r="X4" s="51" t="s">
        <v>81</v>
      </c>
      <c r="Y4" s="51" t="s">
        <v>82</v>
      </c>
      <c r="Z4" s="114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43" t="s">
        <v>4</v>
      </c>
      <c r="B5" s="10">
        <v>207.07</v>
      </c>
      <c r="C5" s="10">
        <v>221.96</v>
      </c>
      <c r="D5" s="10">
        <v>243.45</v>
      </c>
      <c r="E5" s="10">
        <v>248.43</v>
      </c>
      <c r="F5" s="10">
        <v>195.13</v>
      </c>
      <c r="G5" s="10">
        <v>81.05</v>
      </c>
      <c r="H5" s="10">
        <v>125.99</v>
      </c>
      <c r="I5" s="10">
        <v>115.74</v>
      </c>
      <c r="J5" s="10">
        <f>SUM(D5:I5)</f>
        <v>1009.79</v>
      </c>
      <c r="K5" s="10">
        <v>168.83</v>
      </c>
      <c r="L5" s="10">
        <v>48.72</v>
      </c>
      <c r="M5" s="10">
        <v>261.08999999999997</v>
      </c>
      <c r="N5" s="10">
        <v>167.91</v>
      </c>
      <c r="O5" s="10">
        <v>181.98</v>
      </c>
      <c r="P5" s="10">
        <v>0</v>
      </c>
      <c r="Q5" s="10">
        <v>143.13</v>
      </c>
      <c r="R5" s="10">
        <v>156.51</v>
      </c>
      <c r="S5" s="10">
        <v>85</v>
      </c>
      <c r="T5" s="10">
        <v>89.620000000000104</v>
      </c>
      <c r="U5" s="10">
        <v>92.02</v>
      </c>
      <c r="V5" s="10">
        <v>0</v>
      </c>
      <c r="W5" s="10">
        <f>SUM(K5:V5)</f>
        <v>1394.8100000000002</v>
      </c>
      <c r="X5" s="10">
        <v>662.73</v>
      </c>
      <c r="Y5" s="10">
        <v>1057.42</v>
      </c>
      <c r="Z5" s="10">
        <f>SUM(X5:Y5)</f>
        <v>1720.15</v>
      </c>
      <c r="AB5" s="43" t="s">
        <v>4</v>
      </c>
      <c r="AC5" s="19">
        <f>IFERROR(B5/SUM($B5+$C5+$J5+$W5+$Z5),"")</f>
        <v>4.5472113277321251E-2</v>
      </c>
      <c r="AD5" s="19">
        <f>IFERROR(C5/SUM($B5+$C5+$J5+$W5+$Z5),"")</f>
        <v>4.8741924291467745E-2</v>
      </c>
      <c r="AE5" s="19">
        <f>IFERROR(J5/SUM($B5+$C5+$J5+$W5+$Z5),"")</f>
        <v>0.22174764700973693</v>
      </c>
      <c r="AF5" s="19">
        <f>IFERROR(W5/SUM($B5+$C5+$J5+$W5+$Z5),"")</f>
        <v>0.30629718607398687</v>
      </c>
      <c r="AG5" s="19">
        <f>IFERROR(Z5/SUM($B5+$C5+$J5+$W5+$Z5),"")</f>
        <v>0.3777411293474871</v>
      </c>
    </row>
    <row r="6" spans="1:33" x14ac:dyDescent="0.25">
      <c r="A6" s="43" t="s">
        <v>43</v>
      </c>
      <c r="B6" s="10">
        <v>4.6100000000000003</v>
      </c>
      <c r="C6" s="10">
        <v>8.1999999999999993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ref="J6:J21" si="0">SUM(D6:I6)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1" si="1">SUM(K6:V6)</f>
        <v>0</v>
      </c>
      <c r="X6" s="10">
        <v>0</v>
      </c>
      <c r="Y6" s="10">
        <v>0</v>
      </c>
      <c r="Z6" s="10">
        <f t="shared" ref="Z6:Z21" si="2">SUM(X6:Y6)</f>
        <v>0</v>
      </c>
      <c r="AB6" s="43" t="s">
        <v>43</v>
      </c>
      <c r="AC6" s="19">
        <f t="shared" ref="AC6:AD21" si="3">IFERROR(B6/SUM($B6+$C6+$J6+$W6+$Z6),"")</f>
        <v>0.35987509758001568</v>
      </c>
      <c r="AD6" s="19">
        <f t="shared" si="3"/>
        <v>0.64012490241998443</v>
      </c>
      <c r="AE6" s="19">
        <f t="shared" ref="AE6:AE21" si="4">IFERROR(J6/SUM($B6+$C6+$J6+$W6+$Z6),"")</f>
        <v>0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33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0</v>
      </c>
      <c r="X7" s="10">
        <v>0</v>
      </c>
      <c r="Y7" s="10">
        <v>0</v>
      </c>
      <c r="Z7" s="10">
        <f t="shared" si="2"/>
        <v>0</v>
      </c>
      <c r="AB7" s="43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33" x14ac:dyDescent="0.25">
      <c r="A8" s="43" t="s">
        <v>14</v>
      </c>
      <c r="B8" s="10">
        <v>6532.5799999999899</v>
      </c>
      <c r="C8" s="10">
        <v>1800.63</v>
      </c>
      <c r="D8" s="10">
        <v>1006.29</v>
      </c>
      <c r="E8" s="10">
        <v>614.22</v>
      </c>
      <c r="F8" s="10">
        <v>665.45</v>
      </c>
      <c r="G8" s="10">
        <v>239.86</v>
      </c>
      <c r="H8" s="10">
        <v>480.88</v>
      </c>
      <c r="I8" s="10">
        <v>221.1</v>
      </c>
      <c r="J8" s="10">
        <f t="shared" si="0"/>
        <v>3227.8</v>
      </c>
      <c r="K8" s="10">
        <v>167.97</v>
      </c>
      <c r="L8" s="10">
        <v>286.39</v>
      </c>
      <c r="M8" s="10">
        <v>105.85</v>
      </c>
      <c r="N8" s="10">
        <v>58.33</v>
      </c>
      <c r="O8" s="10">
        <v>124.49</v>
      </c>
      <c r="P8" s="10">
        <v>131.72999999999999</v>
      </c>
      <c r="Q8" s="10">
        <v>144.85</v>
      </c>
      <c r="R8" s="10">
        <v>0</v>
      </c>
      <c r="S8" s="10">
        <v>81.53</v>
      </c>
      <c r="T8" s="10">
        <v>171.37</v>
      </c>
      <c r="U8" s="10">
        <v>0</v>
      </c>
      <c r="V8" s="10">
        <v>99.95</v>
      </c>
      <c r="W8" s="10">
        <f t="shared" si="1"/>
        <v>1372.4600000000003</v>
      </c>
      <c r="X8" s="10">
        <v>144.29</v>
      </c>
      <c r="Y8" s="10">
        <v>170.75</v>
      </c>
      <c r="Z8" s="10">
        <f t="shared" si="2"/>
        <v>315.03999999999996</v>
      </c>
      <c r="AB8" s="43" t="s">
        <v>14</v>
      </c>
      <c r="AC8" s="19">
        <f t="shared" si="3"/>
        <v>0.49308035394168809</v>
      </c>
      <c r="AD8" s="19">
        <f t="shared" si="3"/>
        <v>0.13591188744998503</v>
      </c>
      <c r="AE8" s="19">
        <f t="shared" si="4"/>
        <v>0.24363494460886562</v>
      </c>
      <c r="AF8" s="19">
        <f t="shared" si="5"/>
        <v>0.10359353617878547</v>
      </c>
      <c r="AG8" s="19">
        <f t="shared" si="6"/>
        <v>2.3779277820675696E-2</v>
      </c>
    </row>
    <row r="9" spans="1:33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0</v>
      </c>
      <c r="X9" s="10">
        <v>0</v>
      </c>
      <c r="Y9" s="10">
        <v>0</v>
      </c>
      <c r="Z9" s="10">
        <f t="shared" si="2"/>
        <v>0</v>
      </c>
      <c r="AB9" s="43" t="s">
        <v>36</v>
      </c>
      <c r="AC9" s="19" t="str">
        <f t="shared" si="3"/>
        <v/>
      </c>
      <c r="AD9" s="19" t="str">
        <f t="shared" si="3"/>
        <v/>
      </c>
      <c r="AE9" s="19" t="str">
        <f t="shared" si="4"/>
        <v/>
      </c>
      <c r="AF9" s="19" t="str">
        <f t="shared" si="5"/>
        <v/>
      </c>
      <c r="AG9" s="19" t="str">
        <f t="shared" si="6"/>
        <v/>
      </c>
    </row>
    <row r="10" spans="1:33" x14ac:dyDescent="0.25">
      <c r="A10" s="43" t="s">
        <v>39</v>
      </c>
      <c r="B10" s="10">
        <v>4.28</v>
      </c>
      <c r="C10" s="10">
        <v>17.12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0"/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68.64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68.64</v>
      </c>
      <c r="X10" s="10">
        <v>0</v>
      </c>
      <c r="Y10" s="10">
        <v>0</v>
      </c>
      <c r="Z10" s="10">
        <f t="shared" si="2"/>
        <v>0</v>
      </c>
      <c r="AB10" s="43" t="s">
        <v>39</v>
      </c>
      <c r="AC10" s="19">
        <f t="shared" si="3"/>
        <v>4.7534429142603286E-2</v>
      </c>
      <c r="AD10" s="19">
        <f t="shared" si="3"/>
        <v>0.19013771657041315</v>
      </c>
      <c r="AE10" s="19">
        <f t="shared" si="4"/>
        <v>0</v>
      </c>
      <c r="AF10" s="19">
        <f t="shared" si="5"/>
        <v>0.76232785428698346</v>
      </c>
      <c r="AG10" s="19">
        <f t="shared" si="6"/>
        <v>0</v>
      </c>
    </row>
    <row r="11" spans="1:33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10">
        <v>0</v>
      </c>
      <c r="Y11" s="10">
        <v>0</v>
      </c>
      <c r="Z11" s="10">
        <f t="shared" si="2"/>
        <v>0</v>
      </c>
      <c r="AB11" s="43" t="s">
        <v>18</v>
      </c>
      <c r="AC11" s="19" t="str">
        <f t="shared" si="3"/>
        <v/>
      </c>
      <c r="AD11" s="19" t="str">
        <f t="shared" si="3"/>
        <v/>
      </c>
      <c r="AE11" s="19" t="str">
        <f t="shared" si="4"/>
        <v/>
      </c>
      <c r="AF11" s="19" t="str">
        <f t="shared" si="5"/>
        <v/>
      </c>
      <c r="AG11" s="19" t="str">
        <f t="shared" si="6"/>
        <v/>
      </c>
    </row>
    <row r="12" spans="1:33" x14ac:dyDescent="0.25">
      <c r="A12" s="43" t="s">
        <v>19</v>
      </c>
      <c r="B12" s="10">
        <v>96.78</v>
      </c>
      <c r="C12" s="10">
        <v>39.06</v>
      </c>
      <c r="D12" s="10">
        <v>14.2</v>
      </c>
      <c r="E12" s="10">
        <v>36.76</v>
      </c>
      <c r="F12" s="10">
        <v>40.92</v>
      </c>
      <c r="G12" s="10">
        <v>0</v>
      </c>
      <c r="H12" s="10">
        <v>0</v>
      </c>
      <c r="I12" s="10">
        <v>0</v>
      </c>
      <c r="J12" s="10">
        <f t="shared" si="0"/>
        <v>91.88</v>
      </c>
      <c r="K12" s="10">
        <v>0</v>
      </c>
      <c r="L12" s="10">
        <v>0</v>
      </c>
      <c r="M12" s="10">
        <v>0</v>
      </c>
      <c r="N12" s="10">
        <v>59.96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1"/>
        <v>59.96</v>
      </c>
      <c r="X12" s="10">
        <v>0</v>
      </c>
      <c r="Y12" s="10">
        <v>0</v>
      </c>
      <c r="Z12" s="10">
        <f t="shared" si="2"/>
        <v>0</v>
      </c>
      <c r="AB12" s="43" t="s">
        <v>19</v>
      </c>
      <c r="AC12" s="19">
        <f t="shared" si="3"/>
        <v>0.33641546162402669</v>
      </c>
      <c r="AD12" s="19">
        <f t="shared" si="3"/>
        <v>0.13577586206896552</v>
      </c>
      <c r="AE12" s="19">
        <f t="shared" si="4"/>
        <v>0.31938264738598443</v>
      </c>
      <c r="AF12" s="19">
        <f t="shared" si="5"/>
        <v>0.20842602892102335</v>
      </c>
      <c r="AG12" s="19">
        <f t="shared" si="6"/>
        <v>0</v>
      </c>
    </row>
    <row r="13" spans="1:33" x14ac:dyDescent="0.25">
      <c r="A13" s="43" t="s">
        <v>23</v>
      </c>
      <c r="B13" s="10">
        <v>0.94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0</v>
      </c>
      <c r="X13" s="10">
        <v>0</v>
      </c>
      <c r="Y13" s="10">
        <v>0</v>
      </c>
      <c r="Z13" s="10">
        <f t="shared" si="2"/>
        <v>0</v>
      </c>
      <c r="AB13" s="43" t="s">
        <v>23</v>
      </c>
      <c r="AC13" s="19">
        <f t="shared" si="3"/>
        <v>1</v>
      </c>
      <c r="AD13" s="19">
        <f t="shared" si="3"/>
        <v>0</v>
      </c>
      <c r="AE13" s="19">
        <f t="shared" si="4"/>
        <v>0</v>
      </c>
      <c r="AF13" s="19">
        <f t="shared" si="5"/>
        <v>0</v>
      </c>
      <c r="AG13" s="19">
        <f t="shared" si="6"/>
        <v>0</v>
      </c>
    </row>
    <row r="14" spans="1:33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0</v>
      </c>
      <c r="X14" s="10">
        <v>0</v>
      </c>
      <c r="Y14" s="10">
        <v>0</v>
      </c>
      <c r="Z14" s="10">
        <f t="shared" si="2"/>
        <v>0</v>
      </c>
      <c r="AB14" s="43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33" x14ac:dyDescent="0.25">
      <c r="A15" s="43" t="s">
        <v>160</v>
      </c>
      <c r="B15" s="10">
        <v>3.3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0</v>
      </c>
      <c r="X15" s="10">
        <v>0</v>
      </c>
      <c r="Y15" s="10">
        <v>0</v>
      </c>
      <c r="Z15" s="10">
        <f t="shared" si="2"/>
        <v>0</v>
      </c>
      <c r="AB15" s="43" t="s">
        <v>160</v>
      </c>
      <c r="AC15" s="19">
        <f t="shared" si="3"/>
        <v>1</v>
      </c>
      <c r="AD15" s="19">
        <f t="shared" si="3"/>
        <v>0</v>
      </c>
      <c r="AE15" s="19">
        <f t="shared" si="4"/>
        <v>0</v>
      </c>
      <c r="AF15" s="19">
        <f t="shared" si="5"/>
        <v>0</v>
      </c>
      <c r="AG15" s="19">
        <f t="shared" si="6"/>
        <v>0</v>
      </c>
    </row>
    <row r="16" spans="1:33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1"/>
        <v>0</v>
      </c>
      <c r="X16" s="10">
        <v>0</v>
      </c>
      <c r="Y16" s="10">
        <v>0</v>
      </c>
      <c r="Z16" s="10">
        <f t="shared" si="2"/>
        <v>0</v>
      </c>
      <c r="AB16" s="43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0</v>
      </c>
      <c r="X17" s="10">
        <v>0</v>
      </c>
      <c r="Y17" s="10">
        <v>0</v>
      </c>
      <c r="Z17" s="10">
        <f t="shared" si="2"/>
        <v>0</v>
      </c>
      <c r="AB17" s="43" t="s">
        <v>89</v>
      </c>
      <c r="AC17" s="19" t="str">
        <f t="shared" si="3"/>
        <v/>
      </c>
      <c r="AD17" s="19" t="str">
        <f t="shared" si="3"/>
        <v/>
      </c>
      <c r="AE17" s="19" t="str">
        <f t="shared" si="4"/>
        <v/>
      </c>
      <c r="AF17" s="19" t="str">
        <f t="shared" si="5"/>
        <v/>
      </c>
      <c r="AG17" s="19" t="str">
        <f t="shared" si="6"/>
        <v/>
      </c>
    </row>
    <row r="18" spans="1:33" x14ac:dyDescent="0.25">
      <c r="A18" s="43" t="s">
        <v>32</v>
      </c>
      <c r="B18" s="10">
        <v>62.7</v>
      </c>
      <c r="C18" s="10">
        <v>110.84</v>
      </c>
      <c r="D18" s="10">
        <v>70.260000000000005</v>
      </c>
      <c r="E18" s="10">
        <v>53.98</v>
      </c>
      <c r="F18" s="10">
        <v>43.15</v>
      </c>
      <c r="G18" s="10">
        <v>26.94</v>
      </c>
      <c r="H18" s="10">
        <v>65.319999999999993</v>
      </c>
      <c r="I18" s="10">
        <v>35.86</v>
      </c>
      <c r="J18" s="10">
        <f t="shared" si="0"/>
        <v>295.51</v>
      </c>
      <c r="K18" s="10">
        <v>134.25</v>
      </c>
      <c r="L18" s="10">
        <v>0</v>
      </c>
      <c r="M18" s="10">
        <v>50.06</v>
      </c>
      <c r="N18" s="10">
        <v>0</v>
      </c>
      <c r="O18" s="10">
        <v>0</v>
      </c>
      <c r="P18" s="10">
        <v>68.62</v>
      </c>
      <c r="Q18" s="10">
        <v>0</v>
      </c>
      <c r="R18" s="10">
        <v>0</v>
      </c>
      <c r="S18" s="10">
        <v>0</v>
      </c>
      <c r="T18" s="10">
        <v>0</v>
      </c>
      <c r="U18" s="10">
        <v>94.71</v>
      </c>
      <c r="V18" s="10">
        <v>0</v>
      </c>
      <c r="W18" s="10">
        <f t="shared" si="1"/>
        <v>347.64</v>
      </c>
      <c r="X18" s="10">
        <v>125.2</v>
      </c>
      <c r="Y18" s="10">
        <v>0</v>
      </c>
      <c r="Z18" s="10">
        <f t="shared" si="2"/>
        <v>125.2</v>
      </c>
      <c r="AB18" s="43" t="s">
        <v>32</v>
      </c>
      <c r="AC18" s="19">
        <f t="shared" si="3"/>
        <v>6.6568282920510882E-2</v>
      </c>
      <c r="AD18" s="19">
        <f t="shared" si="3"/>
        <v>0.11767828515007059</v>
      </c>
      <c r="AE18" s="19">
        <f t="shared" si="4"/>
        <v>0.31374151971036951</v>
      </c>
      <c r="AF18" s="19">
        <f t="shared" si="5"/>
        <v>0.36908768539850723</v>
      </c>
      <c r="AG18" s="19">
        <f t="shared" si="6"/>
        <v>0.13292422682054167</v>
      </c>
    </row>
    <row r="19" spans="1:33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1"/>
        <v>0</v>
      </c>
      <c r="X19" s="10">
        <v>0</v>
      </c>
      <c r="Y19" s="10">
        <v>0</v>
      </c>
      <c r="Z19" s="10">
        <f t="shared" si="2"/>
        <v>0</v>
      </c>
      <c r="AB19" s="43" t="s">
        <v>90</v>
      </c>
      <c r="AC19" s="19" t="str">
        <f t="shared" si="3"/>
        <v/>
      </c>
      <c r="AD19" s="19" t="str">
        <f t="shared" si="3"/>
        <v/>
      </c>
      <c r="AE19" s="19" t="str">
        <f t="shared" si="4"/>
        <v/>
      </c>
      <c r="AF19" s="19" t="str">
        <f t="shared" si="5"/>
        <v/>
      </c>
      <c r="AG19" s="19" t="str">
        <f t="shared" si="6"/>
        <v/>
      </c>
    </row>
    <row r="20" spans="1:33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0</v>
      </c>
      <c r="X20" s="10">
        <v>0</v>
      </c>
      <c r="Y20" s="10">
        <v>0</v>
      </c>
      <c r="Z20" s="10">
        <f t="shared" si="2"/>
        <v>0</v>
      </c>
      <c r="AB20" s="43" t="s">
        <v>91</v>
      </c>
      <c r="AC20" s="19" t="str">
        <f t="shared" si="3"/>
        <v/>
      </c>
      <c r="AD20" s="19" t="str">
        <f t="shared" si="3"/>
        <v/>
      </c>
      <c r="AE20" s="19" t="str">
        <f t="shared" si="4"/>
        <v/>
      </c>
      <c r="AF20" s="19" t="str">
        <f t="shared" si="5"/>
        <v/>
      </c>
      <c r="AG20" s="19" t="str">
        <f t="shared" si="6"/>
        <v/>
      </c>
    </row>
    <row r="21" spans="1:33" x14ac:dyDescent="0.25">
      <c r="A21" s="52" t="s">
        <v>33</v>
      </c>
      <c r="B21" s="53">
        <v>6912.2599999999802</v>
      </c>
      <c r="C21" s="53">
        <v>2197.81</v>
      </c>
      <c r="D21" s="53">
        <v>1334.2</v>
      </c>
      <c r="E21" s="53">
        <v>953.39</v>
      </c>
      <c r="F21" s="53">
        <v>944.65</v>
      </c>
      <c r="G21" s="53">
        <v>347.85</v>
      </c>
      <c r="H21" s="53">
        <v>672.19</v>
      </c>
      <c r="I21" s="53">
        <v>372.7</v>
      </c>
      <c r="J21" s="115">
        <f t="shared" si="0"/>
        <v>4624.9800000000005</v>
      </c>
      <c r="K21" s="53">
        <v>471.05</v>
      </c>
      <c r="L21" s="53">
        <v>335.11</v>
      </c>
      <c r="M21" s="53">
        <v>417</v>
      </c>
      <c r="N21" s="53">
        <v>286.2</v>
      </c>
      <c r="O21" s="53">
        <v>306.47000000000003</v>
      </c>
      <c r="P21" s="53">
        <v>268.99</v>
      </c>
      <c r="Q21" s="53">
        <v>287.98</v>
      </c>
      <c r="R21" s="53">
        <v>156.51</v>
      </c>
      <c r="S21" s="53">
        <v>166.53</v>
      </c>
      <c r="T21" s="53">
        <v>260.99</v>
      </c>
      <c r="U21" s="53">
        <v>186.73</v>
      </c>
      <c r="V21" s="53">
        <v>99.95</v>
      </c>
      <c r="W21" s="115">
        <f t="shared" si="1"/>
        <v>3243.5100000000007</v>
      </c>
      <c r="X21" s="53">
        <v>932.22</v>
      </c>
      <c r="Y21" s="53">
        <v>1228.17</v>
      </c>
      <c r="Z21" s="115">
        <f t="shared" si="2"/>
        <v>2160.3900000000003</v>
      </c>
      <c r="AB21" s="52" t="s">
        <v>33</v>
      </c>
      <c r="AC21" s="65">
        <f t="shared" si="3"/>
        <v>0.36116192372099759</v>
      </c>
      <c r="AD21" s="65">
        <f t="shared" si="3"/>
        <v>0.11483440836618529</v>
      </c>
      <c r="AE21" s="134">
        <f t="shared" si="4"/>
        <v>0.24165275524519395</v>
      </c>
      <c r="AF21" s="134">
        <f t="shared" si="5"/>
        <v>0.16947167948084946</v>
      </c>
      <c r="AG21" s="134">
        <f t="shared" si="6"/>
        <v>0.11287923318677369</v>
      </c>
    </row>
    <row r="24" spans="1:33" x14ac:dyDescent="0.25">
      <c r="A24" s="87" t="s">
        <v>140</v>
      </c>
      <c r="AB24" s="87" t="s">
        <v>140</v>
      </c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114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114" t="s">
        <v>94</v>
      </c>
      <c r="X25" s="51" t="s">
        <v>81</v>
      </c>
      <c r="Y25" s="51" t="s">
        <v>82</v>
      </c>
      <c r="Z25" s="114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43" t="s">
        <v>4</v>
      </c>
      <c r="B26" s="10">
        <v>153</v>
      </c>
      <c r="C26" s="10">
        <v>32</v>
      </c>
      <c r="D26" s="10">
        <v>20</v>
      </c>
      <c r="E26" s="10">
        <v>14</v>
      </c>
      <c r="F26" s="10">
        <v>9</v>
      </c>
      <c r="G26" s="10">
        <v>3</v>
      </c>
      <c r="H26" s="10">
        <v>4</v>
      </c>
      <c r="I26" s="10">
        <v>3</v>
      </c>
      <c r="J26" s="10">
        <f>SUM(D26:I26)</f>
        <v>53</v>
      </c>
      <c r="K26" s="10">
        <v>4</v>
      </c>
      <c r="L26" s="10">
        <v>1</v>
      </c>
      <c r="M26" s="10">
        <v>5</v>
      </c>
      <c r="N26" s="10">
        <v>3</v>
      </c>
      <c r="O26" s="10">
        <v>3</v>
      </c>
      <c r="P26" s="10">
        <v>0</v>
      </c>
      <c r="Q26" s="10">
        <v>2</v>
      </c>
      <c r="R26" s="10">
        <v>2</v>
      </c>
      <c r="S26" s="10">
        <v>1</v>
      </c>
      <c r="T26" s="10">
        <v>1</v>
      </c>
      <c r="U26" s="10">
        <v>1</v>
      </c>
      <c r="V26" s="10">
        <v>0</v>
      </c>
      <c r="W26" s="10">
        <f>SUM(K26:V26)</f>
        <v>23</v>
      </c>
      <c r="X26" s="10">
        <v>6</v>
      </c>
      <c r="Y26" s="10">
        <v>5</v>
      </c>
      <c r="Z26" s="10">
        <f>SUM(X26:Y26)</f>
        <v>11</v>
      </c>
      <c r="AB26" s="43" t="s">
        <v>4</v>
      </c>
      <c r="AC26" s="19">
        <f>IFERROR(B26/SUM($B26+$C26+$J26+$W26+$Z26),"")</f>
        <v>0.5625</v>
      </c>
      <c r="AD26" s="19">
        <f>IFERROR(C26/SUM($B26+$C26+$J26+$W26+$Z26),"")</f>
        <v>0.11764705882352941</v>
      </c>
      <c r="AE26" s="19">
        <f>IFERROR(J26/SUM($B26+$C26+$J26+$W26+$Z26),"")</f>
        <v>0.19485294117647059</v>
      </c>
      <c r="AF26" s="19">
        <f>IFERROR(W26/SUM($B26+$C26+$J26+$W26+$Z26),"")</f>
        <v>8.455882352941177E-2</v>
      </c>
      <c r="AG26" s="19">
        <f>IFERROR(Z26/SUM($B26+$C26+$J26+$W26+$Z26),"")</f>
        <v>4.0441176470588237E-2</v>
      </c>
    </row>
    <row r="27" spans="1:33" x14ac:dyDescent="0.25">
      <c r="A27" s="43" t="s">
        <v>43</v>
      </c>
      <c r="B27" s="10">
        <v>1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40" si="7">SUM(D27:I27)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38" si="8">SUM(K27:V27)</f>
        <v>0</v>
      </c>
      <c r="X27" s="10">
        <v>0</v>
      </c>
      <c r="Y27" s="10">
        <v>0</v>
      </c>
      <c r="Z27" s="10">
        <f t="shared" ref="Z27:Z40" si="9">SUM(X27:Y27)</f>
        <v>0</v>
      </c>
      <c r="AB27" s="43" t="s">
        <v>43</v>
      </c>
      <c r="AC27" s="19">
        <f t="shared" ref="AC27:AD42" si="10">IFERROR(B27/SUM($B27+$C27+$J27+$W27+$Z27),"")</f>
        <v>0.5</v>
      </c>
      <c r="AD27" s="19">
        <f t="shared" si="10"/>
        <v>0.5</v>
      </c>
      <c r="AE27" s="19">
        <f t="shared" ref="AE27:AE42" si="11">IFERROR(J27/SUM($B27+$C27+$J27+$W27+$Z27),"")</f>
        <v>0</v>
      </c>
      <c r="AF27" s="19">
        <f t="shared" ref="AF27:AF42" si="12">IFERROR(W27/SUM($B27+$C27+$J27+$W27+$Z27),"")</f>
        <v>0</v>
      </c>
      <c r="AG27" s="19">
        <f t="shared" ref="AG27:AG42" si="13">IFERROR(Z27/SUM($B27+$C27+$J27+$W27+$Z27),"")</f>
        <v>0</v>
      </c>
    </row>
    <row r="28" spans="1:33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7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8"/>
        <v>0</v>
      </c>
      <c r="X28" s="10">
        <v>0</v>
      </c>
      <c r="Y28" s="10">
        <v>0</v>
      </c>
      <c r="Z28" s="10">
        <f t="shared" si="9"/>
        <v>0</v>
      </c>
      <c r="AB28" s="43" t="s">
        <v>13</v>
      </c>
      <c r="AC28" s="19" t="str">
        <f t="shared" si="10"/>
        <v/>
      </c>
      <c r="AD28" s="19" t="str">
        <f t="shared" si="10"/>
        <v/>
      </c>
      <c r="AE28" s="19" t="str">
        <f t="shared" si="11"/>
        <v/>
      </c>
      <c r="AF28" s="19" t="str">
        <f t="shared" si="12"/>
        <v/>
      </c>
      <c r="AG28" s="19" t="str">
        <f t="shared" si="13"/>
        <v/>
      </c>
    </row>
    <row r="29" spans="1:33" x14ac:dyDescent="0.25">
      <c r="A29" s="43" t="s">
        <v>14</v>
      </c>
      <c r="B29" s="10">
        <v>6369</v>
      </c>
      <c r="C29" s="10">
        <v>267</v>
      </c>
      <c r="D29" s="10">
        <v>84</v>
      </c>
      <c r="E29" s="10">
        <v>36</v>
      </c>
      <c r="F29" s="10">
        <v>30</v>
      </c>
      <c r="G29" s="10">
        <v>9</v>
      </c>
      <c r="H29" s="10">
        <v>15</v>
      </c>
      <c r="I29" s="10">
        <v>6</v>
      </c>
      <c r="J29" s="10">
        <f t="shared" si="7"/>
        <v>180</v>
      </c>
      <c r="K29" s="10">
        <v>4</v>
      </c>
      <c r="L29" s="10">
        <v>6</v>
      </c>
      <c r="M29" s="10">
        <v>2</v>
      </c>
      <c r="N29" s="10">
        <v>1</v>
      </c>
      <c r="O29" s="10">
        <v>2</v>
      </c>
      <c r="P29" s="10">
        <v>2</v>
      </c>
      <c r="Q29" s="10">
        <v>2</v>
      </c>
      <c r="R29" s="10">
        <v>0</v>
      </c>
      <c r="S29" s="10">
        <v>1</v>
      </c>
      <c r="T29" s="10">
        <v>2</v>
      </c>
      <c r="U29" s="10">
        <v>0</v>
      </c>
      <c r="V29" s="10">
        <v>1</v>
      </c>
      <c r="W29" s="10">
        <f t="shared" si="8"/>
        <v>23</v>
      </c>
      <c r="X29" s="10">
        <v>1</v>
      </c>
      <c r="Y29" s="10">
        <v>1</v>
      </c>
      <c r="Z29" s="10">
        <f t="shared" si="9"/>
        <v>2</v>
      </c>
      <c r="AB29" s="43" t="s">
        <v>14</v>
      </c>
      <c r="AC29" s="19">
        <f t="shared" si="10"/>
        <v>0.93100423914632369</v>
      </c>
      <c r="AD29" s="19">
        <f t="shared" si="10"/>
        <v>3.9029381669346587E-2</v>
      </c>
      <c r="AE29" s="19">
        <f t="shared" si="11"/>
        <v>2.6311942698435901E-2</v>
      </c>
      <c r="AF29" s="19">
        <f t="shared" si="12"/>
        <v>3.3620815670223651E-3</v>
      </c>
      <c r="AG29" s="19">
        <f t="shared" si="13"/>
        <v>2.9235491887151001E-4</v>
      </c>
    </row>
    <row r="30" spans="1:33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7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8"/>
        <v>0</v>
      </c>
      <c r="X30" s="10">
        <v>0</v>
      </c>
      <c r="Y30" s="10">
        <v>0</v>
      </c>
      <c r="Z30" s="10">
        <f t="shared" si="9"/>
        <v>0</v>
      </c>
      <c r="AB30" s="43" t="s">
        <v>36</v>
      </c>
      <c r="AC30" s="19" t="str">
        <f t="shared" si="10"/>
        <v/>
      </c>
      <c r="AD30" s="19" t="str">
        <f t="shared" si="10"/>
        <v/>
      </c>
      <c r="AE30" s="19" t="str">
        <f t="shared" si="11"/>
        <v/>
      </c>
      <c r="AF30" s="19" t="str">
        <f t="shared" si="12"/>
        <v/>
      </c>
      <c r="AG30" s="19" t="str">
        <f t="shared" si="13"/>
        <v/>
      </c>
    </row>
    <row r="31" spans="1:33" x14ac:dyDescent="0.25">
      <c r="A31" s="43" t="s">
        <v>39</v>
      </c>
      <c r="B31" s="10">
        <v>2</v>
      </c>
      <c r="C31" s="10">
        <v>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7"/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1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8"/>
        <v>1</v>
      </c>
      <c r="X31" s="10">
        <v>0</v>
      </c>
      <c r="Y31" s="10">
        <v>0</v>
      </c>
      <c r="Z31" s="10">
        <f t="shared" si="9"/>
        <v>0</v>
      </c>
      <c r="AB31" s="43" t="s">
        <v>39</v>
      </c>
      <c r="AC31" s="19">
        <f t="shared" si="10"/>
        <v>0.4</v>
      </c>
      <c r="AD31" s="19">
        <f t="shared" si="10"/>
        <v>0.4</v>
      </c>
      <c r="AE31" s="19">
        <f t="shared" si="11"/>
        <v>0</v>
      </c>
      <c r="AF31" s="19">
        <f t="shared" si="12"/>
        <v>0.2</v>
      </c>
      <c r="AG31" s="19">
        <f t="shared" si="13"/>
        <v>0</v>
      </c>
    </row>
    <row r="32" spans="1:33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7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8"/>
        <v>0</v>
      </c>
      <c r="X32" s="10">
        <v>0</v>
      </c>
      <c r="Y32" s="10">
        <v>0</v>
      </c>
      <c r="Z32" s="10">
        <f t="shared" si="9"/>
        <v>0</v>
      </c>
      <c r="AB32" s="43" t="s">
        <v>18</v>
      </c>
      <c r="AC32" s="19" t="str">
        <f t="shared" si="10"/>
        <v/>
      </c>
      <c r="AD32" s="19" t="str">
        <f t="shared" si="10"/>
        <v/>
      </c>
      <c r="AE32" s="19" t="str">
        <f t="shared" si="11"/>
        <v/>
      </c>
      <c r="AF32" s="19" t="str">
        <f t="shared" si="12"/>
        <v/>
      </c>
      <c r="AG32" s="19" t="str">
        <f t="shared" si="13"/>
        <v/>
      </c>
    </row>
    <row r="33" spans="1:33" x14ac:dyDescent="0.25">
      <c r="A33" s="43" t="s">
        <v>19</v>
      </c>
      <c r="B33" s="10">
        <v>69</v>
      </c>
      <c r="C33" s="10">
        <v>5</v>
      </c>
      <c r="D33" s="10">
        <v>1</v>
      </c>
      <c r="E33" s="10">
        <v>2</v>
      </c>
      <c r="F33" s="10">
        <v>2</v>
      </c>
      <c r="G33" s="10">
        <v>0</v>
      </c>
      <c r="H33" s="10">
        <v>0</v>
      </c>
      <c r="I33" s="10">
        <v>0</v>
      </c>
      <c r="J33" s="10">
        <f t="shared" si="7"/>
        <v>5</v>
      </c>
      <c r="K33" s="10">
        <v>0</v>
      </c>
      <c r="L33" s="10">
        <v>0</v>
      </c>
      <c r="M33" s="10">
        <v>0</v>
      </c>
      <c r="N33" s="10">
        <v>1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8"/>
        <v>1</v>
      </c>
      <c r="X33" s="10">
        <v>0</v>
      </c>
      <c r="Y33" s="10">
        <v>0</v>
      </c>
      <c r="Z33" s="10">
        <f t="shared" si="9"/>
        <v>0</v>
      </c>
      <c r="AB33" s="43" t="s">
        <v>19</v>
      </c>
      <c r="AC33" s="19">
        <f t="shared" si="10"/>
        <v>0.86250000000000004</v>
      </c>
      <c r="AD33" s="19">
        <f t="shared" si="10"/>
        <v>6.25E-2</v>
      </c>
      <c r="AE33" s="19">
        <f t="shared" si="11"/>
        <v>6.25E-2</v>
      </c>
      <c r="AF33" s="19">
        <f t="shared" si="12"/>
        <v>1.2500000000000001E-2</v>
      </c>
      <c r="AG33" s="19">
        <f t="shared" si="13"/>
        <v>0</v>
      </c>
    </row>
    <row r="34" spans="1:33" x14ac:dyDescent="0.25">
      <c r="A34" s="43" t="s">
        <v>23</v>
      </c>
      <c r="B34" s="10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7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8"/>
        <v>0</v>
      </c>
      <c r="X34" s="10">
        <v>0</v>
      </c>
      <c r="Y34" s="10">
        <v>0</v>
      </c>
      <c r="Z34" s="10">
        <f t="shared" si="9"/>
        <v>0</v>
      </c>
      <c r="AB34" s="43" t="s">
        <v>23</v>
      </c>
      <c r="AC34" s="19">
        <f t="shared" si="10"/>
        <v>1</v>
      </c>
      <c r="AD34" s="19">
        <f t="shared" si="10"/>
        <v>0</v>
      </c>
      <c r="AE34" s="19">
        <f t="shared" si="11"/>
        <v>0</v>
      </c>
      <c r="AF34" s="19">
        <f t="shared" si="12"/>
        <v>0</v>
      </c>
      <c r="AG34" s="19">
        <f t="shared" si="13"/>
        <v>0</v>
      </c>
    </row>
    <row r="35" spans="1:33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7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8"/>
        <v>0</v>
      </c>
      <c r="X35" s="10">
        <v>0</v>
      </c>
      <c r="Y35" s="10">
        <v>0</v>
      </c>
      <c r="Z35" s="10">
        <f t="shared" si="9"/>
        <v>0</v>
      </c>
      <c r="AB35" s="43" t="s">
        <v>26</v>
      </c>
      <c r="AC35" s="19" t="str">
        <f t="shared" si="10"/>
        <v/>
      </c>
      <c r="AD35" s="19" t="str">
        <f t="shared" si="10"/>
        <v/>
      </c>
      <c r="AE35" s="19" t="str">
        <f t="shared" si="11"/>
        <v/>
      </c>
      <c r="AF35" s="19" t="str">
        <f t="shared" si="12"/>
        <v/>
      </c>
      <c r="AG35" s="19" t="str">
        <f t="shared" si="13"/>
        <v/>
      </c>
    </row>
    <row r="36" spans="1:33" x14ac:dyDescent="0.25">
      <c r="A36" s="43" t="s">
        <v>160</v>
      </c>
      <c r="B36" s="10">
        <v>13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7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8"/>
        <v>0</v>
      </c>
      <c r="X36" s="10">
        <v>0</v>
      </c>
      <c r="Y36" s="10">
        <v>0</v>
      </c>
      <c r="Z36" s="10">
        <f t="shared" si="9"/>
        <v>0</v>
      </c>
      <c r="AB36" s="43" t="s">
        <v>160</v>
      </c>
      <c r="AC36" s="19">
        <f t="shared" si="10"/>
        <v>1</v>
      </c>
      <c r="AD36" s="19">
        <f t="shared" si="10"/>
        <v>0</v>
      </c>
      <c r="AE36" s="19">
        <f t="shared" si="11"/>
        <v>0</v>
      </c>
      <c r="AF36" s="19">
        <f t="shared" si="12"/>
        <v>0</v>
      </c>
      <c r="AG36" s="19">
        <f t="shared" si="13"/>
        <v>0</v>
      </c>
    </row>
    <row r="37" spans="1:33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7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8"/>
        <v>0</v>
      </c>
      <c r="X37" s="10">
        <v>0</v>
      </c>
      <c r="Y37" s="10">
        <v>0</v>
      </c>
      <c r="Z37" s="10">
        <f t="shared" si="9"/>
        <v>0</v>
      </c>
      <c r="AB37" s="43" t="s">
        <v>161</v>
      </c>
      <c r="AC37" s="19" t="str">
        <f t="shared" si="10"/>
        <v/>
      </c>
      <c r="AD37" s="19" t="str">
        <f t="shared" si="10"/>
        <v/>
      </c>
      <c r="AE37" s="19" t="str">
        <f t="shared" si="11"/>
        <v/>
      </c>
      <c r="AF37" s="19" t="str">
        <f t="shared" si="12"/>
        <v/>
      </c>
      <c r="AG37" s="19" t="str">
        <f t="shared" si="13"/>
        <v/>
      </c>
    </row>
    <row r="38" spans="1:33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7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si="8"/>
        <v>0</v>
      </c>
      <c r="X38" s="10">
        <v>0</v>
      </c>
      <c r="Y38" s="10">
        <v>0</v>
      </c>
      <c r="Z38" s="10">
        <f t="shared" si="9"/>
        <v>0</v>
      </c>
      <c r="AB38" s="43" t="s">
        <v>89</v>
      </c>
      <c r="AC38" s="19" t="str">
        <f t="shared" si="10"/>
        <v/>
      </c>
      <c r="AD38" s="19" t="str">
        <f t="shared" si="10"/>
        <v/>
      </c>
      <c r="AE38" s="19" t="str">
        <f t="shared" si="11"/>
        <v/>
      </c>
      <c r="AF38" s="19" t="str">
        <f t="shared" si="12"/>
        <v/>
      </c>
      <c r="AG38" s="19" t="str">
        <f t="shared" si="13"/>
        <v/>
      </c>
    </row>
    <row r="39" spans="1:33" x14ac:dyDescent="0.25">
      <c r="A39" s="43" t="s">
        <v>32</v>
      </c>
      <c r="B39" s="10">
        <v>34</v>
      </c>
      <c r="C39" s="10">
        <v>14</v>
      </c>
      <c r="D39" s="10">
        <v>6</v>
      </c>
      <c r="E39" s="10">
        <v>3</v>
      </c>
      <c r="F39" s="10">
        <v>2</v>
      </c>
      <c r="G39" s="10">
        <v>1</v>
      </c>
      <c r="H39" s="10">
        <v>2</v>
      </c>
      <c r="I39" s="10">
        <v>1</v>
      </c>
      <c r="J39" s="10">
        <f t="shared" si="7"/>
        <v>15</v>
      </c>
      <c r="K39" s="10">
        <v>3</v>
      </c>
      <c r="L39" s="10">
        <v>0</v>
      </c>
      <c r="M39" s="10">
        <v>1</v>
      </c>
      <c r="N39" s="10">
        <v>0</v>
      </c>
      <c r="O39" s="10">
        <v>0</v>
      </c>
      <c r="P39" s="10">
        <v>1</v>
      </c>
      <c r="Q39" s="10">
        <v>0</v>
      </c>
      <c r="R39" s="10">
        <v>0</v>
      </c>
      <c r="S39" s="10">
        <v>0</v>
      </c>
      <c r="T39" s="10">
        <v>0</v>
      </c>
      <c r="U39" s="10">
        <v>1</v>
      </c>
      <c r="V39" s="10">
        <v>0</v>
      </c>
      <c r="W39" s="10">
        <f t="shared" ref="W39:W42" si="14">SUM(K39:V39)</f>
        <v>6</v>
      </c>
      <c r="X39" s="10">
        <v>1</v>
      </c>
      <c r="Y39" s="10">
        <v>0</v>
      </c>
      <c r="Z39" s="10">
        <f t="shared" si="9"/>
        <v>1</v>
      </c>
      <c r="AB39" s="43" t="s">
        <v>32</v>
      </c>
      <c r="AC39" s="19">
        <f t="shared" si="10"/>
        <v>0.48571428571428571</v>
      </c>
      <c r="AD39" s="19">
        <f t="shared" si="10"/>
        <v>0.2</v>
      </c>
      <c r="AE39" s="19">
        <f t="shared" si="11"/>
        <v>0.21428571428571427</v>
      </c>
      <c r="AF39" s="19">
        <f t="shared" si="12"/>
        <v>8.5714285714285715E-2</v>
      </c>
      <c r="AG39" s="19">
        <f t="shared" si="13"/>
        <v>1.4285714285714285E-2</v>
      </c>
    </row>
    <row r="40" spans="1:33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7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14"/>
        <v>0</v>
      </c>
      <c r="X40" s="10">
        <v>0</v>
      </c>
      <c r="Y40" s="10">
        <v>0</v>
      </c>
      <c r="Z40" s="10">
        <f t="shared" si="9"/>
        <v>0</v>
      </c>
      <c r="AB40" s="43" t="s">
        <v>90</v>
      </c>
      <c r="AC40" s="19" t="str">
        <f t="shared" si="10"/>
        <v/>
      </c>
      <c r="AD40" s="19" t="str">
        <f t="shared" si="10"/>
        <v/>
      </c>
      <c r="AE40" s="19" t="str">
        <f t="shared" si="11"/>
        <v/>
      </c>
      <c r="AF40" s="19" t="str">
        <f t="shared" si="12"/>
        <v/>
      </c>
      <c r="AG40" s="19" t="str">
        <f t="shared" si="13"/>
        <v/>
      </c>
    </row>
    <row r="41" spans="1:33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ref="J41:J42" si="15">SUM(D41:I41)</f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4"/>
        <v>0</v>
      </c>
      <c r="X41" s="10">
        <v>0</v>
      </c>
      <c r="Y41" s="10">
        <v>0</v>
      </c>
      <c r="Z41" s="10">
        <f t="shared" ref="Z41:Z42" si="16">SUM(X41:Y41)</f>
        <v>0</v>
      </c>
      <c r="AB41" s="43" t="s">
        <v>91</v>
      </c>
      <c r="AC41" s="19" t="str">
        <f t="shared" si="10"/>
        <v/>
      </c>
      <c r="AD41" s="19" t="str">
        <f t="shared" si="10"/>
        <v/>
      </c>
      <c r="AE41" s="19" t="str">
        <f t="shared" si="11"/>
        <v/>
      </c>
      <c r="AF41" s="19" t="str">
        <f t="shared" si="12"/>
        <v/>
      </c>
      <c r="AG41" s="19" t="str">
        <f t="shared" si="13"/>
        <v/>
      </c>
    </row>
    <row r="42" spans="1:33" x14ac:dyDescent="0.25">
      <c r="A42" s="52" t="s">
        <v>33</v>
      </c>
      <c r="B42" s="53">
        <v>6645</v>
      </c>
      <c r="C42" s="53">
        <v>321</v>
      </c>
      <c r="D42" s="53">
        <v>111</v>
      </c>
      <c r="E42" s="53">
        <v>55</v>
      </c>
      <c r="F42" s="53">
        <v>43</v>
      </c>
      <c r="G42" s="53">
        <v>13</v>
      </c>
      <c r="H42" s="53">
        <v>21</v>
      </c>
      <c r="I42" s="53">
        <v>10</v>
      </c>
      <c r="J42" s="115">
        <f t="shared" si="15"/>
        <v>253</v>
      </c>
      <c r="K42" s="53">
        <v>11</v>
      </c>
      <c r="L42" s="53">
        <v>7</v>
      </c>
      <c r="M42" s="53">
        <v>8</v>
      </c>
      <c r="N42" s="53">
        <v>5</v>
      </c>
      <c r="O42" s="53">
        <v>5</v>
      </c>
      <c r="P42" s="53">
        <v>4</v>
      </c>
      <c r="Q42" s="53">
        <v>4</v>
      </c>
      <c r="R42" s="53">
        <v>2</v>
      </c>
      <c r="S42" s="53">
        <v>2</v>
      </c>
      <c r="T42" s="53">
        <v>3</v>
      </c>
      <c r="U42" s="53">
        <v>2</v>
      </c>
      <c r="V42" s="53">
        <v>1</v>
      </c>
      <c r="W42" s="115">
        <f t="shared" si="14"/>
        <v>54</v>
      </c>
      <c r="X42" s="53">
        <v>8</v>
      </c>
      <c r="Y42" s="53">
        <v>6</v>
      </c>
      <c r="Z42" s="115">
        <f t="shared" si="16"/>
        <v>14</v>
      </c>
      <c r="AB42" s="52" t="s">
        <v>33</v>
      </c>
      <c r="AC42" s="65">
        <f t="shared" si="10"/>
        <v>0.91189790037052287</v>
      </c>
      <c r="AD42" s="65">
        <f t="shared" si="10"/>
        <v>4.4051049814738577E-2</v>
      </c>
      <c r="AE42" s="134">
        <f t="shared" si="11"/>
        <v>3.4719363249622617E-2</v>
      </c>
      <c r="AF42" s="134">
        <f t="shared" si="12"/>
        <v>7.4104569781803208E-3</v>
      </c>
      <c r="AG42" s="134">
        <f t="shared" si="13"/>
        <v>1.9212295869356388E-3</v>
      </c>
    </row>
    <row r="45" spans="1:33" x14ac:dyDescent="0.25">
      <c r="A45" s="72"/>
      <c r="B45" s="72"/>
      <c r="C45" s="98" t="s">
        <v>105</v>
      </c>
      <c r="J45" s="74" t="s">
        <v>106</v>
      </c>
    </row>
    <row r="46" spans="1:33" x14ac:dyDescent="0.25">
      <c r="A46" s="215" t="s">
        <v>4</v>
      </c>
      <c r="B46" s="97" t="s">
        <v>107</v>
      </c>
      <c r="C46" s="19">
        <v>4.5472113277321251E-2</v>
      </c>
      <c r="J46" s="77">
        <v>0.5625</v>
      </c>
    </row>
    <row r="47" spans="1:33" x14ac:dyDescent="0.25">
      <c r="A47" s="215"/>
      <c r="B47" s="78" t="s">
        <v>108</v>
      </c>
      <c r="C47" s="19">
        <v>4.8741924291467745E-2</v>
      </c>
      <c r="J47" s="77">
        <v>0.11764705882352941</v>
      </c>
    </row>
    <row r="48" spans="1:33" x14ac:dyDescent="0.25">
      <c r="A48" s="215"/>
      <c r="B48" s="97" t="s">
        <v>93</v>
      </c>
      <c r="C48" s="19">
        <v>0.22174764700973693</v>
      </c>
      <c r="J48" s="77">
        <v>0.19485294117647059</v>
      </c>
    </row>
    <row r="49" spans="1:10" x14ac:dyDescent="0.25">
      <c r="A49" s="215"/>
      <c r="B49" s="97" t="s">
        <v>109</v>
      </c>
      <c r="C49" s="77">
        <v>0.30629718607398687</v>
      </c>
      <c r="J49" s="77">
        <v>8.455882352941177E-2</v>
      </c>
    </row>
    <row r="50" spans="1:10" x14ac:dyDescent="0.25">
      <c r="A50" s="215"/>
      <c r="B50" s="97" t="s">
        <v>95</v>
      </c>
      <c r="C50" s="77">
        <v>0.3777411293474871</v>
      </c>
      <c r="J50" s="77">
        <v>4.0441176470588237E-2</v>
      </c>
    </row>
    <row r="51" spans="1:10" x14ac:dyDescent="0.25">
      <c r="A51" s="215" t="s">
        <v>14</v>
      </c>
      <c r="B51" s="97" t="s">
        <v>107</v>
      </c>
      <c r="C51" s="29">
        <v>0.49308035394168809</v>
      </c>
      <c r="J51" s="77">
        <v>0.93100423914632369</v>
      </c>
    </row>
    <row r="52" spans="1:10" x14ac:dyDescent="0.25">
      <c r="A52" s="215"/>
      <c r="B52" s="78" t="s">
        <v>108</v>
      </c>
      <c r="C52" s="29">
        <v>0.13591188744998503</v>
      </c>
      <c r="J52" s="77">
        <v>3.9029381669346587E-2</v>
      </c>
    </row>
    <row r="53" spans="1:10" x14ac:dyDescent="0.25">
      <c r="A53" s="215"/>
      <c r="B53" s="97" t="s">
        <v>93</v>
      </c>
      <c r="C53" s="29">
        <v>0.24363494460886562</v>
      </c>
      <c r="J53" s="77">
        <v>2.6311942698435901E-2</v>
      </c>
    </row>
    <row r="54" spans="1:10" x14ac:dyDescent="0.25">
      <c r="A54" s="215"/>
      <c r="B54" s="97" t="s">
        <v>109</v>
      </c>
      <c r="C54" s="29">
        <v>0.10359353617878547</v>
      </c>
      <c r="J54" s="77">
        <v>3.3620815670223651E-3</v>
      </c>
    </row>
    <row r="55" spans="1:10" x14ac:dyDescent="0.25">
      <c r="A55" s="215"/>
      <c r="B55" s="97" t="s">
        <v>95</v>
      </c>
      <c r="C55" s="29">
        <v>2.3779277820675696E-2</v>
      </c>
      <c r="J55" s="77">
        <v>2.9235491887151001E-4</v>
      </c>
    </row>
  </sheetData>
  <mergeCells count="4">
    <mergeCell ref="AB3:AC3"/>
    <mergeCell ref="A2:B2"/>
    <mergeCell ref="A46:A50"/>
    <mergeCell ref="A51:A55"/>
  </mergeCells>
  <hyperlinks>
    <hyperlink ref="C1" r:id="rId1" location="INDICE!A1"/>
  </hyperlinks>
  <pageMargins left="0.7" right="0.7" top="0.75" bottom="0.75" header="0.3" footer="0.3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>
      <selection activeCell="B1" sqref="B1:C1"/>
    </sheetView>
  </sheetViews>
  <sheetFormatPr baseColWidth="10" defaultRowHeight="15" x14ac:dyDescent="0.25"/>
  <cols>
    <col min="1" max="1" width="22.140625" customWidth="1"/>
    <col min="3" max="3" width="10" bestFit="1" customWidth="1"/>
    <col min="4" max="7" width="6.7109375" hidden="1" customWidth="1"/>
    <col min="8" max="9" width="7.140625" hidden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3" max="23" width="6.7109375" bestFit="1" customWidth="1"/>
    <col min="24" max="24" width="9.140625" hidden="1" customWidth="1"/>
    <col min="25" max="25" width="5.42578125" hidden="1" customWidth="1"/>
    <col min="28" max="28" width="21.85546875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54" t="s">
        <v>144</v>
      </c>
    </row>
    <row r="3" spans="1:33" x14ac:dyDescent="0.25">
      <c r="A3" s="87" t="s">
        <v>139</v>
      </c>
      <c r="B3" s="87"/>
      <c r="C3" s="216"/>
      <c r="D3" s="216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114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114" t="s">
        <v>94</v>
      </c>
      <c r="X4" s="51" t="s">
        <v>81</v>
      </c>
      <c r="Y4" s="51" t="s">
        <v>82</v>
      </c>
      <c r="Z4" s="114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43" t="s">
        <v>4</v>
      </c>
      <c r="B5" s="10">
        <v>42.57</v>
      </c>
      <c r="C5" s="10">
        <v>46.73</v>
      </c>
      <c r="D5" s="10">
        <v>13.62</v>
      </c>
      <c r="E5" s="10">
        <v>15.59</v>
      </c>
      <c r="F5" s="10">
        <v>45.13</v>
      </c>
      <c r="G5" s="10">
        <v>0</v>
      </c>
      <c r="H5" s="10">
        <v>0</v>
      </c>
      <c r="I5" s="10">
        <v>76.63</v>
      </c>
      <c r="J5" s="10">
        <f>SUM(D5:I5)</f>
        <v>150.97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SUM(K5:V5)</f>
        <v>0</v>
      </c>
      <c r="X5" s="10">
        <v>0</v>
      </c>
      <c r="Y5" s="10">
        <v>0</v>
      </c>
      <c r="Z5" s="10">
        <f>SUM(X5:Y5)</f>
        <v>0</v>
      </c>
      <c r="AB5" s="43" t="s">
        <v>4</v>
      </c>
      <c r="AC5" s="19">
        <f>IFERROR(B5/SUM($B5+$C5+$J5+$W5+$Z5),"")</f>
        <v>0.17717567736296669</v>
      </c>
      <c r="AD5" s="19">
        <f>IFERROR(C5/SUM($B5+$C5+$J5+$W5+$Z5),"")</f>
        <v>0.19448953260914803</v>
      </c>
      <c r="AE5" s="19">
        <f>IFERROR(J5/SUM($B5+$C5+$J5+$W5+$Z5),"")</f>
        <v>0.62833479002788539</v>
      </c>
      <c r="AF5" s="19">
        <f>IFERROR(W5/SUM($B5+$C5+$J5+$W5+$Z5),"")</f>
        <v>0</v>
      </c>
      <c r="AG5" s="19">
        <f>IFERROR(Z5/SUM($B5+$C5+$J5+$W5+$Z5),"")</f>
        <v>0</v>
      </c>
    </row>
    <row r="6" spans="1:33" x14ac:dyDescent="0.25">
      <c r="A6" s="43" t="s">
        <v>43</v>
      </c>
      <c r="B6" s="10">
        <v>2.2799999999999998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ref="J6:J21" si="0">SUM(D6:I6)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1" si="1">SUM(K6:V6)</f>
        <v>0</v>
      </c>
      <c r="X6" s="10">
        <v>0</v>
      </c>
      <c r="Y6" s="10">
        <v>0</v>
      </c>
      <c r="Z6" s="10">
        <f t="shared" ref="Z6:Z21" si="2">SUM(X6:Y6)</f>
        <v>0</v>
      </c>
      <c r="AB6" s="43" t="s">
        <v>43</v>
      </c>
      <c r="AC6" s="19">
        <f t="shared" ref="AC6:AD21" si="3">IFERROR(B6/SUM($B6+$C6+$J6+$W6+$Z6),"")</f>
        <v>1</v>
      </c>
      <c r="AD6" s="19">
        <f t="shared" si="3"/>
        <v>0</v>
      </c>
      <c r="AE6" s="19">
        <f t="shared" ref="AE6:AE21" si="4">IFERROR(J6/SUM($B6+$C6+$J6+$W6+$Z6),"")</f>
        <v>0</v>
      </c>
      <c r="AF6" s="19">
        <f t="shared" ref="AF6:AF21" si="5">IFERROR(W6/SUM($B6+$C6+$J6+$W6+$Z6),"")</f>
        <v>0</v>
      </c>
      <c r="AG6" s="19">
        <f t="shared" ref="AG6:AG21" si="6">IFERROR(Z6/SUM($B6+$C6+$J6+$W6+$Z6),"")</f>
        <v>0</v>
      </c>
    </row>
    <row r="7" spans="1:33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0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1"/>
        <v>0</v>
      </c>
      <c r="X7" s="10">
        <v>0</v>
      </c>
      <c r="Y7" s="10">
        <v>0</v>
      </c>
      <c r="Z7" s="10">
        <f t="shared" si="2"/>
        <v>0</v>
      </c>
      <c r="AB7" s="43" t="s">
        <v>13</v>
      </c>
      <c r="AC7" s="19" t="str">
        <f t="shared" si="3"/>
        <v/>
      </c>
      <c r="AD7" s="19" t="str">
        <f t="shared" si="3"/>
        <v/>
      </c>
      <c r="AE7" s="19" t="str">
        <f t="shared" si="4"/>
        <v/>
      </c>
      <c r="AF7" s="19" t="str">
        <f t="shared" si="5"/>
        <v/>
      </c>
      <c r="AG7" s="19" t="str">
        <f t="shared" si="6"/>
        <v/>
      </c>
    </row>
    <row r="8" spans="1:33" x14ac:dyDescent="0.25">
      <c r="A8" s="43" t="s">
        <v>14</v>
      </c>
      <c r="B8" s="10">
        <v>3065.3458333333301</v>
      </c>
      <c r="C8" s="10">
        <v>354.85</v>
      </c>
      <c r="D8" s="10">
        <v>160.43</v>
      </c>
      <c r="E8" s="10">
        <v>140.18</v>
      </c>
      <c r="F8" s="10">
        <v>47.51</v>
      </c>
      <c r="G8" s="10">
        <v>104.56</v>
      </c>
      <c r="H8" s="10">
        <v>30.26</v>
      </c>
      <c r="I8" s="10">
        <v>0</v>
      </c>
      <c r="J8" s="10">
        <f t="shared" si="0"/>
        <v>482.94</v>
      </c>
      <c r="K8" s="10">
        <v>0</v>
      </c>
      <c r="L8" s="10">
        <v>45.86</v>
      </c>
      <c r="M8" s="10">
        <v>0</v>
      </c>
      <c r="N8" s="10">
        <v>56.63</v>
      </c>
      <c r="O8" s="10">
        <v>0</v>
      </c>
      <c r="P8" s="10">
        <v>137.66999999999999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 t="shared" si="1"/>
        <v>240.16</v>
      </c>
      <c r="X8" s="10">
        <v>0</v>
      </c>
      <c r="Y8" s="10">
        <v>0</v>
      </c>
      <c r="Z8" s="10">
        <f t="shared" si="2"/>
        <v>0</v>
      </c>
      <c r="AB8" s="43" t="s">
        <v>14</v>
      </c>
      <c r="AC8" s="19">
        <f t="shared" si="3"/>
        <v>0.73983272173621828</v>
      </c>
      <c r="AD8" s="19">
        <f t="shared" si="3"/>
        <v>8.5644379323626299E-2</v>
      </c>
      <c r="AE8" s="19">
        <f t="shared" si="4"/>
        <v>0.11655938157123315</v>
      </c>
      <c r="AF8" s="19">
        <f t="shared" si="5"/>
        <v>5.7963517368922329E-2</v>
      </c>
      <c r="AG8" s="19">
        <f t="shared" si="6"/>
        <v>0</v>
      </c>
    </row>
    <row r="9" spans="1:33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0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1"/>
        <v>0</v>
      </c>
      <c r="X9" s="10">
        <v>0</v>
      </c>
      <c r="Y9" s="10">
        <v>0</v>
      </c>
      <c r="Z9" s="10">
        <f t="shared" si="2"/>
        <v>0</v>
      </c>
      <c r="AB9" s="43" t="s">
        <v>36</v>
      </c>
      <c r="AC9" s="19" t="str">
        <f t="shared" si="3"/>
        <v/>
      </c>
      <c r="AD9" s="19" t="str">
        <f t="shared" si="3"/>
        <v/>
      </c>
      <c r="AE9" s="19" t="str">
        <f t="shared" si="4"/>
        <v/>
      </c>
      <c r="AF9" s="19" t="str">
        <f t="shared" si="5"/>
        <v/>
      </c>
      <c r="AG9" s="19" t="str">
        <f t="shared" si="6"/>
        <v/>
      </c>
    </row>
    <row r="10" spans="1:33" x14ac:dyDescent="0.25">
      <c r="A10" s="43" t="s">
        <v>39</v>
      </c>
      <c r="B10" s="10">
        <v>0</v>
      </c>
      <c r="C10" s="10">
        <v>7.86</v>
      </c>
      <c r="D10" s="10">
        <v>0</v>
      </c>
      <c r="E10" s="10">
        <v>0</v>
      </c>
      <c r="F10" s="10">
        <v>0</v>
      </c>
      <c r="G10" s="10">
        <v>29.12</v>
      </c>
      <c r="H10" s="10">
        <v>0</v>
      </c>
      <c r="I10" s="10">
        <v>0</v>
      </c>
      <c r="J10" s="10">
        <f t="shared" si="0"/>
        <v>29.12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1"/>
        <v>0</v>
      </c>
      <c r="X10" s="10">
        <v>0</v>
      </c>
      <c r="Y10" s="10">
        <v>0</v>
      </c>
      <c r="Z10" s="10">
        <f t="shared" si="2"/>
        <v>0</v>
      </c>
      <c r="AB10" s="43" t="s">
        <v>39</v>
      </c>
      <c r="AC10" s="19">
        <f t="shared" si="3"/>
        <v>0</v>
      </c>
      <c r="AD10" s="19">
        <f t="shared" si="3"/>
        <v>0.21254732287723091</v>
      </c>
      <c r="AE10" s="19">
        <f t="shared" si="4"/>
        <v>0.78745267712276901</v>
      </c>
      <c r="AF10" s="19">
        <f t="shared" si="5"/>
        <v>0</v>
      </c>
      <c r="AG10" s="19">
        <f t="shared" si="6"/>
        <v>0</v>
      </c>
    </row>
    <row r="11" spans="1:33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0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1"/>
        <v>0</v>
      </c>
      <c r="X11" s="10">
        <v>0</v>
      </c>
      <c r="Y11" s="10">
        <v>0</v>
      </c>
      <c r="Z11" s="10">
        <f t="shared" si="2"/>
        <v>0</v>
      </c>
      <c r="AB11" s="43" t="s">
        <v>18</v>
      </c>
      <c r="AC11" s="19" t="str">
        <f t="shared" si="3"/>
        <v/>
      </c>
      <c r="AD11" s="19" t="str">
        <f t="shared" si="3"/>
        <v/>
      </c>
      <c r="AE11" s="19" t="str">
        <f t="shared" si="4"/>
        <v/>
      </c>
      <c r="AF11" s="19" t="str">
        <f t="shared" si="5"/>
        <v/>
      </c>
      <c r="AG11" s="19" t="str">
        <f t="shared" si="6"/>
        <v/>
      </c>
    </row>
    <row r="12" spans="1:33" x14ac:dyDescent="0.25">
      <c r="A12" s="43" t="s">
        <v>19</v>
      </c>
      <c r="B12" s="10">
        <v>1.21</v>
      </c>
      <c r="C12" s="10">
        <v>7.24</v>
      </c>
      <c r="D12" s="10">
        <v>10.42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0"/>
        <v>10.42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1"/>
        <v>0</v>
      </c>
      <c r="X12" s="10">
        <v>0</v>
      </c>
      <c r="Y12" s="10">
        <v>0</v>
      </c>
      <c r="Z12" s="10">
        <f t="shared" si="2"/>
        <v>0</v>
      </c>
      <c r="AB12" s="43" t="s">
        <v>19</v>
      </c>
      <c r="AC12" s="19">
        <f t="shared" si="3"/>
        <v>6.4122946475887663E-2</v>
      </c>
      <c r="AD12" s="19">
        <f t="shared" si="3"/>
        <v>0.38367779544250141</v>
      </c>
      <c r="AE12" s="19">
        <f t="shared" si="4"/>
        <v>0.55219925808161108</v>
      </c>
      <c r="AF12" s="19">
        <f t="shared" si="5"/>
        <v>0</v>
      </c>
      <c r="AG12" s="19">
        <f t="shared" si="6"/>
        <v>0</v>
      </c>
    </row>
    <row r="13" spans="1:33" x14ac:dyDescent="0.25">
      <c r="A13" s="43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0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1"/>
        <v>0</v>
      </c>
      <c r="X13" s="10">
        <v>0</v>
      </c>
      <c r="Y13" s="10">
        <v>0</v>
      </c>
      <c r="Z13" s="10">
        <f t="shared" si="2"/>
        <v>0</v>
      </c>
      <c r="AB13" s="43" t="s">
        <v>23</v>
      </c>
      <c r="AC13" s="19" t="str">
        <f t="shared" si="3"/>
        <v/>
      </c>
      <c r="AD13" s="19" t="str">
        <f t="shared" si="3"/>
        <v/>
      </c>
      <c r="AE13" s="19" t="str">
        <f t="shared" si="4"/>
        <v/>
      </c>
      <c r="AF13" s="19" t="str">
        <f t="shared" si="5"/>
        <v/>
      </c>
      <c r="AG13" s="19" t="str">
        <f t="shared" si="6"/>
        <v/>
      </c>
    </row>
    <row r="14" spans="1:33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0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1"/>
        <v>0</v>
      </c>
      <c r="X14" s="10">
        <v>0</v>
      </c>
      <c r="Y14" s="10">
        <v>0</v>
      </c>
      <c r="Z14" s="10">
        <f t="shared" si="2"/>
        <v>0</v>
      </c>
      <c r="AB14" s="43" t="s">
        <v>26</v>
      </c>
      <c r="AC14" s="19" t="str">
        <f t="shared" si="3"/>
        <v/>
      </c>
      <c r="AD14" s="19" t="str">
        <f t="shared" si="3"/>
        <v/>
      </c>
      <c r="AE14" s="19" t="str">
        <f t="shared" si="4"/>
        <v/>
      </c>
      <c r="AF14" s="19" t="str">
        <f t="shared" si="5"/>
        <v/>
      </c>
      <c r="AG14" s="19" t="str">
        <f t="shared" si="6"/>
        <v/>
      </c>
    </row>
    <row r="15" spans="1:33" x14ac:dyDescent="0.25">
      <c r="A15" s="43" t="s">
        <v>160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0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1"/>
        <v>0</v>
      </c>
      <c r="X15" s="10">
        <v>0</v>
      </c>
      <c r="Y15" s="10">
        <v>0</v>
      </c>
      <c r="Z15" s="10">
        <f t="shared" si="2"/>
        <v>0</v>
      </c>
      <c r="AB15" s="43" t="s">
        <v>160</v>
      </c>
      <c r="AC15" s="19" t="str">
        <f t="shared" si="3"/>
        <v/>
      </c>
      <c r="AD15" s="19" t="str">
        <f t="shared" si="3"/>
        <v/>
      </c>
      <c r="AE15" s="19" t="str">
        <f t="shared" si="4"/>
        <v/>
      </c>
      <c r="AF15" s="19" t="str">
        <f t="shared" si="5"/>
        <v/>
      </c>
      <c r="AG15" s="19" t="str">
        <f t="shared" si="6"/>
        <v/>
      </c>
    </row>
    <row r="16" spans="1:33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0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1"/>
        <v>0</v>
      </c>
      <c r="X16" s="10">
        <v>0</v>
      </c>
      <c r="Y16" s="10">
        <v>0</v>
      </c>
      <c r="Z16" s="10">
        <f t="shared" si="2"/>
        <v>0</v>
      </c>
      <c r="AB16" s="43" t="s">
        <v>161</v>
      </c>
      <c r="AC16" s="19" t="str">
        <f t="shared" si="3"/>
        <v/>
      </c>
      <c r="AD16" s="19" t="str">
        <f t="shared" si="3"/>
        <v/>
      </c>
      <c r="AE16" s="19" t="str">
        <f t="shared" si="4"/>
        <v/>
      </c>
      <c r="AF16" s="19" t="str">
        <f t="shared" si="5"/>
        <v/>
      </c>
      <c r="AG16" s="19" t="str">
        <f t="shared" si="6"/>
        <v/>
      </c>
    </row>
    <row r="17" spans="1:33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1"/>
        <v>0</v>
      </c>
      <c r="X17" s="10">
        <v>0</v>
      </c>
      <c r="Y17" s="10">
        <v>0</v>
      </c>
      <c r="Z17" s="10">
        <f t="shared" si="2"/>
        <v>0</v>
      </c>
      <c r="AB17" s="43" t="s">
        <v>89</v>
      </c>
      <c r="AC17" s="19" t="str">
        <f t="shared" si="3"/>
        <v/>
      </c>
      <c r="AD17" s="19" t="str">
        <f t="shared" si="3"/>
        <v/>
      </c>
      <c r="AE17" s="19" t="str">
        <f t="shared" si="4"/>
        <v/>
      </c>
      <c r="AF17" s="19" t="str">
        <f t="shared" si="5"/>
        <v/>
      </c>
      <c r="AG17" s="19" t="str">
        <f t="shared" si="6"/>
        <v/>
      </c>
    </row>
    <row r="18" spans="1:33" x14ac:dyDescent="0.25">
      <c r="A18" s="43" t="s">
        <v>32</v>
      </c>
      <c r="B18" s="10">
        <v>6.12</v>
      </c>
      <c r="C18" s="10">
        <v>6.03</v>
      </c>
      <c r="D18" s="10">
        <v>11.48</v>
      </c>
      <c r="E18" s="10">
        <v>0</v>
      </c>
      <c r="F18" s="10">
        <v>0</v>
      </c>
      <c r="G18" s="10">
        <v>0</v>
      </c>
      <c r="H18" s="10">
        <v>0</v>
      </c>
      <c r="I18" s="10">
        <v>38.06</v>
      </c>
      <c r="J18" s="10">
        <f t="shared" si="0"/>
        <v>49.540000000000006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f t="shared" si="1"/>
        <v>0</v>
      </c>
      <c r="X18" s="10">
        <v>0</v>
      </c>
      <c r="Y18" s="10">
        <v>0</v>
      </c>
      <c r="Z18" s="10">
        <f t="shared" si="2"/>
        <v>0</v>
      </c>
      <c r="AB18" s="43" t="s">
        <v>32</v>
      </c>
      <c r="AC18" s="19">
        <f t="shared" si="3"/>
        <v>9.9205705949100331E-2</v>
      </c>
      <c r="AD18" s="19">
        <f t="shared" si="3"/>
        <v>9.7746798508672392E-2</v>
      </c>
      <c r="AE18" s="19">
        <f t="shared" si="4"/>
        <v>0.80304749554222732</v>
      </c>
      <c r="AF18" s="19">
        <f t="shared" si="5"/>
        <v>0</v>
      </c>
      <c r="AG18" s="19">
        <f t="shared" si="6"/>
        <v>0</v>
      </c>
    </row>
    <row r="19" spans="1:33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0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1"/>
        <v>0</v>
      </c>
      <c r="X19" s="10">
        <v>0</v>
      </c>
      <c r="Y19" s="10">
        <v>0</v>
      </c>
      <c r="Z19" s="10">
        <f t="shared" si="2"/>
        <v>0</v>
      </c>
      <c r="AB19" s="43" t="s">
        <v>90</v>
      </c>
      <c r="AC19" s="19" t="str">
        <f t="shared" si="3"/>
        <v/>
      </c>
      <c r="AD19" s="19" t="str">
        <f t="shared" si="3"/>
        <v/>
      </c>
      <c r="AE19" s="19" t="str">
        <f t="shared" si="4"/>
        <v/>
      </c>
      <c r="AF19" s="19" t="str">
        <f t="shared" si="5"/>
        <v/>
      </c>
      <c r="AG19" s="19" t="str">
        <f t="shared" si="6"/>
        <v/>
      </c>
    </row>
    <row r="20" spans="1:33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0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1"/>
        <v>0</v>
      </c>
      <c r="X20" s="10">
        <v>0</v>
      </c>
      <c r="Y20" s="10">
        <v>0</v>
      </c>
      <c r="Z20" s="10">
        <f t="shared" si="2"/>
        <v>0</v>
      </c>
      <c r="AB20" s="43" t="s">
        <v>91</v>
      </c>
      <c r="AC20" s="19" t="str">
        <f t="shared" si="3"/>
        <v/>
      </c>
      <c r="AD20" s="19" t="str">
        <f t="shared" si="3"/>
        <v/>
      </c>
      <c r="AE20" s="19" t="str">
        <f t="shared" si="4"/>
        <v/>
      </c>
      <c r="AF20" s="19" t="str">
        <f t="shared" si="5"/>
        <v/>
      </c>
      <c r="AG20" s="19" t="str">
        <f t="shared" si="6"/>
        <v/>
      </c>
    </row>
    <row r="21" spans="1:33" x14ac:dyDescent="0.25">
      <c r="A21" s="52" t="s">
        <v>33</v>
      </c>
      <c r="B21" s="53">
        <v>3117.52583333333</v>
      </c>
      <c r="C21" s="53">
        <v>422.71</v>
      </c>
      <c r="D21" s="53">
        <v>195.95</v>
      </c>
      <c r="E21" s="53">
        <v>155.77000000000001</v>
      </c>
      <c r="F21" s="53">
        <v>92.64</v>
      </c>
      <c r="G21" s="53">
        <v>133.68</v>
      </c>
      <c r="H21" s="53">
        <v>30.26</v>
      </c>
      <c r="I21" s="53">
        <v>114.69</v>
      </c>
      <c r="J21" s="115">
        <f t="shared" si="0"/>
        <v>722.99</v>
      </c>
      <c r="K21" s="53">
        <v>0</v>
      </c>
      <c r="L21" s="53">
        <v>45.86</v>
      </c>
      <c r="M21" s="53">
        <v>0</v>
      </c>
      <c r="N21" s="53">
        <v>56.63</v>
      </c>
      <c r="O21" s="53">
        <v>0</v>
      </c>
      <c r="P21" s="53">
        <v>137.66999999999999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115">
        <f t="shared" si="1"/>
        <v>240.16</v>
      </c>
      <c r="X21" s="53">
        <v>0</v>
      </c>
      <c r="Y21" s="53">
        <v>0</v>
      </c>
      <c r="Z21" s="115">
        <f t="shared" si="2"/>
        <v>0</v>
      </c>
      <c r="AB21" s="52" t="s">
        <v>33</v>
      </c>
      <c r="AC21" s="65">
        <f t="shared" si="3"/>
        <v>0.69226265496904804</v>
      </c>
      <c r="AD21" s="65">
        <f t="shared" si="3"/>
        <v>9.3864930886261008E-2</v>
      </c>
      <c r="AE21" s="134">
        <f t="shared" si="4"/>
        <v>0.16054365021281222</v>
      </c>
      <c r="AF21" s="134">
        <f t="shared" si="5"/>
        <v>5.33287639318787E-2</v>
      </c>
      <c r="AG21" s="134">
        <f t="shared" si="6"/>
        <v>0</v>
      </c>
    </row>
    <row r="24" spans="1:33" x14ac:dyDescent="0.25">
      <c r="A24" s="87" t="s">
        <v>140</v>
      </c>
      <c r="AB24" s="87" t="s">
        <v>140</v>
      </c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114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114" t="s">
        <v>94</v>
      </c>
      <c r="X25" s="51" t="s">
        <v>81</v>
      </c>
      <c r="Y25" s="51" t="s">
        <v>82</v>
      </c>
      <c r="Z25" s="114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43" t="s">
        <v>4</v>
      </c>
      <c r="B26" s="10">
        <v>28</v>
      </c>
      <c r="C26" s="10">
        <v>6</v>
      </c>
      <c r="D26" s="10">
        <v>1</v>
      </c>
      <c r="E26" s="10">
        <v>1</v>
      </c>
      <c r="F26" s="10">
        <v>2</v>
      </c>
      <c r="G26" s="10">
        <v>0</v>
      </c>
      <c r="H26" s="10">
        <v>0</v>
      </c>
      <c r="I26" s="10">
        <v>2</v>
      </c>
      <c r="J26" s="10">
        <f>SUM(D26:I26)</f>
        <v>6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SUM(K26:V26)</f>
        <v>0</v>
      </c>
      <c r="X26" s="10">
        <v>0</v>
      </c>
      <c r="Y26" s="10">
        <v>0</v>
      </c>
      <c r="Z26" s="10">
        <f>SUM(X26:Y26)</f>
        <v>0</v>
      </c>
      <c r="AB26" s="43" t="s">
        <v>4</v>
      </c>
      <c r="AC26" s="19">
        <f>IFERROR(B26/SUM($B26+$C26+$J26+$W26+$Z26),"")</f>
        <v>0.7</v>
      </c>
      <c r="AD26" s="19">
        <f>IFERROR(C26/SUM($B26+$C26+$J26+$W26+$Z26),"")</f>
        <v>0.15</v>
      </c>
      <c r="AE26" s="19">
        <f>IFERROR(J26/SUM($B26+$C26+$J26+$W26+$Z26),"")</f>
        <v>0.15</v>
      </c>
      <c r="AF26" s="19">
        <f>IFERROR(W26/SUM($B26+$C26+$J26+$W26+$Z26),"")</f>
        <v>0</v>
      </c>
      <c r="AG26" s="19">
        <f>IFERROR(Z26/SUM($B26+$C26+$J26+$W26+$Z26),"")</f>
        <v>0</v>
      </c>
    </row>
    <row r="27" spans="1:33" x14ac:dyDescent="0.25">
      <c r="A27" s="43" t="s">
        <v>43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37" si="7">SUM(D27:I27)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37" si="8">SUM(K27:V27)</f>
        <v>0</v>
      </c>
      <c r="X27" s="10">
        <v>0</v>
      </c>
      <c r="Y27" s="10">
        <v>0</v>
      </c>
      <c r="Z27" s="10">
        <f t="shared" ref="Z27:Z42" si="9">SUM(X27:Y27)</f>
        <v>0</v>
      </c>
      <c r="AB27" s="43" t="s">
        <v>43</v>
      </c>
      <c r="AC27" s="19">
        <f t="shared" ref="AC27:AD42" si="10">IFERROR(B27/SUM($B27+$C27+$J27+$W27+$Z27),"")</f>
        <v>1</v>
      </c>
      <c r="AD27" s="19">
        <f t="shared" si="10"/>
        <v>0</v>
      </c>
      <c r="AE27" s="19">
        <f t="shared" ref="AE27:AE42" si="11">IFERROR(J27/SUM($B27+$C27+$J27+$W27+$Z27),"")</f>
        <v>0</v>
      </c>
      <c r="AF27" s="19">
        <f t="shared" ref="AF27:AF42" si="12">IFERROR(W27/SUM($B27+$C27+$J27+$W27+$Z27),"")</f>
        <v>0</v>
      </c>
      <c r="AG27" s="19">
        <f t="shared" ref="AG27:AG42" si="13">IFERROR(Z27/SUM($B27+$C27+$J27+$W27+$Z27),"")</f>
        <v>0</v>
      </c>
    </row>
    <row r="28" spans="1:33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7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8"/>
        <v>0</v>
      </c>
      <c r="X28" s="10">
        <v>0</v>
      </c>
      <c r="Y28" s="10">
        <v>0</v>
      </c>
      <c r="Z28" s="10">
        <f t="shared" si="9"/>
        <v>0</v>
      </c>
      <c r="AB28" s="43" t="s">
        <v>13</v>
      </c>
      <c r="AC28" s="19" t="str">
        <f t="shared" si="10"/>
        <v/>
      </c>
      <c r="AD28" s="19" t="str">
        <f t="shared" si="10"/>
        <v/>
      </c>
      <c r="AE28" s="19" t="str">
        <f t="shared" si="11"/>
        <v/>
      </c>
      <c r="AF28" s="19" t="str">
        <f t="shared" si="12"/>
        <v/>
      </c>
      <c r="AG28" s="19" t="str">
        <f t="shared" si="13"/>
        <v/>
      </c>
    </row>
    <row r="29" spans="1:33" x14ac:dyDescent="0.25">
      <c r="A29" s="43" t="s">
        <v>14</v>
      </c>
      <c r="B29" s="10">
        <v>3801</v>
      </c>
      <c r="C29" s="10">
        <v>53</v>
      </c>
      <c r="D29" s="10">
        <v>13</v>
      </c>
      <c r="E29" s="10">
        <v>8</v>
      </c>
      <c r="F29" s="10">
        <v>2</v>
      </c>
      <c r="G29" s="10">
        <v>4</v>
      </c>
      <c r="H29" s="10">
        <v>1</v>
      </c>
      <c r="I29" s="10">
        <v>0</v>
      </c>
      <c r="J29" s="10">
        <f t="shared" si="7"/>
        <v>28</v>
      </c>
      <c r="K29" s="10">
        <v>0</v>
      </c>
      <c r="L29" s="10">
        <v>1</v>
      </c>
      <c r="M29" s="10">
        <v>0</v>
      </c>
      <c r="N29" s="10">
        <v>1</v>
      </c>
      <c r="O29" s="10">
        <v>0</v>
      </c>
      <c r="P29" s="10">
        <v>2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 t="shared" si="8"/>
        <v>4</v>
      </c>
      <c r="X29" s="10">
        <v>0</v>
      </c>
      <c r="Y29" s="10">
        <v>0</v>
      </c>
      <c r="Z29" s="10">
        <f t="shared" si="9"/>
        <v>0</v>
      </c>
      <c r="AB29" s="43" t="s">
        <v>14</v>
      </c>
      <c r="AC29" s="19">
        <f t="shared" si="10"/>
        <v>0.97812660833762222</v>
      </c>
      <c r="AD29" s="19">
        <f t="shared" si="10"/>
        <v>1.3638703036541432E-2</v>
      </c>
      <c r="AE29" s="19">
        <f t="shared" si="11"/>
        <v>7.205352547606794E-3</v>
      </c>
      <c r="AF29" s="19">
        <f t="shared" si="12"/>
        <v>1.029336078229542E-3</v>
      </c>
      <c r="AG29" s="19">
        <f t="shared" si="13"/>
        <v>0</v>
      </c>
    </row>
    <row r="30" spans="1:33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7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8"/>
        <v>0</v>
      </c>
      <c r="X30" s="10">
        <v>0</v>
      </c>
      <c r="Y30" s="10">
        <v>0</v>
      </c>
      <c r="Z30" s="10">
        <f t="shared" si="9"/>
        <v>0</v>
      </c>
      <c r="AB30" s="43" t="s">
        <v>36</v>
      </c>
      <c r="AC30" s="19" t="str">
        <f t="shared" si="10"/>
        <v/>
      </c>
      <c r="AD30" s="19" t="str">
        <f t="shared" si="10"/>
        <v/>
      </c>
      <c r="AE30" s="19" t="str">
        <f t="shared" si="11"/>
        <v/>
      </c>
      <c r="AF30" s="19" t="str">
        <f t="shared" si="12"/>
        <v/>
      </c>
      <c r="AG30" s="19" t="str">
        <f t="shared" si="13"/>
        <v/>
      </c>
    </row>
    <row r="31" spans="1:33" x14ac:dyDescent="0.25">
      <c r="A31" s="43" t="s">
        <v>39</v>
      </c>
      <c r="B31" s="10">
        <v>0</v>
      </c>
      <c r="C31" s="10">
        <v>1</v>
      </c>
      <c r="D31" s="10">
        <v>0</v>
      </c>
      <c r="E31" s="10">
        <v>0</v>
      </c>
      <c r="F31" s="10">
        <v>0</v>
      </c>
      <c r="G31" s="10">
        <v>1</v>
      </c>
      <c r="H31" s="10">
        <v>0</v>
      </c>
      <c r="I31" s="10">
        <v>0</v>
      </c>
      <c r="J31" s="10">
        <f t="shared" si="7"/>
        <v>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8"/>
        <v>0</v>
      </c>
      <c r="X31" s="10">
        <v>0</v>
      </c>
      <c r="Y31" s="10">
        <v>0</v>
      </c>
      <c r="Z31" s="10">
        <f t="shared" si="9"/>
        <v>0</v>
      </c>
      <c r="AB31" s="43" t="s">
        <v>39</v>
      </c>
      <c r="AC31" s="19">
        <f t="shared" si="10"/>
        <v>0</v>
      </c>
      <c r="AD31" s="19">
        <f t="shared" si="10"/>
        <v>0.5</v>
      </c>
      <c r="AE31" s="19">
        <f t="shared" si="11"/>
        <v>0.5</v>
      </c>
      <c r="AF31" s="19">
        <f t="shared" si="12"/>
        <v>0</v>
      </c>
      <c r="AG31" s="19">
        <f t="shared" si="13"/>
        <v>0</v>
      </c>
    </row>
    <row r="32" spans="1:33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7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8"/>
        <v>0</v>
      </c>
      <c r="X32" s="10">
        <v>0</v>
      </c>
      <c r="Y32" s="10">
        <v>0</v>
      </c>
      <c r="Z32" s="10">
        <f t="shared" si="9"/>
        <v>0</v>
      </c>
      <c r="AB32" s="43" t="s">
        <v>18</v>
      </c>
      <c r="AC32" s="19" t="str">
        <f t="shared" si="10"/>
        <v/>
      </c>
      <c r="AD32" s="19" t="str">
        <f t="shared" si="10"/>
        <v/>
      </c>
      <c r="AE32" s="19" t="str">
        <f t="shared" si="11"/>
        <v/>
      </c>
      <c r="AF32" s="19" t="str">
        <f t="shared" si="12"/>
        <v/>
      </c>
      <c r="AG32" s="19" t="str">
        <f t="shared" si="13"/>
        <v/>
      </c>
    </row>
    <row r="33" spans="1:33" x14ac:dyDescent="0.25">
      <c r="A33" s="43" t="s">
        <v>19</v>
      </c>
      <c r="B33" s="10">
        <v>8</v>
      </c>
      <c r="C33" s="10">
        <v>1</v>
      </c>
      <c r="D33" s="10">
        <v>1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f t="shared" si="7"/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8"/>
        <v>0</v>
      </c>
      <c r="X33" s="10">
        <v>0</v>
      </c>
      <c r="Y33" s="10">
        <v>0</v>
      </c>
      <c r="Z33" s="10">
        <f t="shared" si="9"/>
        <v>0</v>
      </c>
      <c r="AB33" s="43" t="s">
        <v>19</v>
      </c>
      <c r="AC33" s="19">
        <f t="shared" si="10"/>
        <v>0.8</v>
      </c>
      <c r="AD33" s="19">
        <f t="shared" si="10"/>
        <v>0.1</v>
      </c>
      <c r="AE33" s="19">
        <f t="shared" si="11"/>
        <v>0.1</v>
      </c>
      <c r="AF33" s="19">
        <f t="shared" si="12"/>
        <v>0</v>
      </c>
      <c r="AG33" s="19">
        <f t="shared" si="13"/>
        <v>0</v>
      </c>
    </row>
    <row r="34" spans="1:33" x14ac:dyDescent="0.25">
      <c r="A34" s="43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7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8"/>
        <v>0</v>
      </c>
      <c r="X34" s="10">
        <v>0</v>
      </c>
      <c r="Y34" s="10">
        <v>0</v>
      </c>
      <c r="Z34" s="10">
        <f t="shared" si="9"/>
        <v>0</v>
      </c>
      <c r="AB34" s="43" t="s">
        <v>23</v>
      </c>
      <c r="AC34" s="19" t="str">
        <f t="shared" si="10"/>
        <v/>
      </c>
      <c r="AD34" s="19" t="str">
        <f t="shared" si="10"/>
        <v/>
      </c>
      <c r="AE34" s="19" t="str">
        <f t="shared" si="11"/>
        <v/>
      </c>
      <c r="AF34" s="19" t="str">
        <f t="shared" si="12"/>
        <v/>
      </c>
      <c r="AG34" s="19" t="str">
        <f t="shared" si="13"/>
        <v/>
      </c>
    </row>
    <row r="35" spans="1:33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7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8"/>
        <v>0</v>
      </c>
      <c r="X35" s="10">
        <v>0</v>
      </c>
      <c r="Y35" s="10">
        <v>0</v>
      </c>
      <c r="Z35" s="10">
        <f t="shared" si="9"/>
        <v>0</v>
      </c>
      <c r="AB35" s="43" t="s">
        <v>26</v>
      </c>
      <c r="AC35" s="19" t="str">
        <f t="shared" si="10"/>
        <v/>
      </c>
      <c r="AD35" s="19" t="str">
        <f t="shared" si="10"/>
        <v/>
      </c>
      <c r="AE35" s="19" t="str">
        <f t="shared" si="11"/>
        <v/>
      </c>
      <c r="AF35" s="19" t="str">
        <f t="shared" si="12"/>
        <v/>
      </c>
      <c r="AG35" s="19" t="str">
        <f t="shared" si="13"/>
        <v/>
      </c>
    </row>
    <row r="36" spans="1:33" x14ac:dyDescent="0.25">
      <c r="A36" s="43" t="s">
        <v>160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7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8"/>
        <v>0</v>
      </c>
      <c r="X36" s="10">
        <v>0</v>
      </c>
      <c r="Y36" s="10">
        <v>0</v>
      </c>
      <c r="Z36" s="10">
        <f t="shared" si="9"/>
        <v>0</v>
      </c>
      <c r="AB36" s="43" t="s">
        <v>160</v>
      </c>
      <c r="AC36" s="19" t="str">
        <f t="shared" si="10"/>
        <v/>
      </c>
      <c r="AD36" s="19" t="str">
        <f t="shared" si="10"/>
        <v/>
      </c>
      <c r="AE36" s="19" t="str">
        <f t="shared" si="11"/>
        <v/>
      </c>
      <c r="AF36" s="19" t="str">
        <f t="shared" si="12"/>
        <v/>
      </c>
      <c r="AG36" s="19" t="str">
        <f t="shared" si="13"/>
        <v/>
      </c>
    </row>
    <row r="37" spans="1:33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7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8"/>
        <v>0</v>
      </c>
      <c r="X37" s="10">
        <v>0</v>
      </c>
      <c r="Y37" s="10">
        <v>0</v>
      </c>
      <c r="Z37" s="10">
        <f t="shared" si="9"/>
        <v>0</v>
      </c>
      <c r="AB37" s="43" t="s">
        <v>161</v>
      </c>
      <c r="AC37" s="19" t="str">
        <f t="shared" si="10"/>
        <v/>
      </c>
      <c r="AD37" s="19" t="str">
        <f t="shared" si="10"/>
        <v/>
      </c>
      <c r="AE37" s="19" t="str">
        <f t="shared" si="11"/>
        <v/>
      </c>
      <c r="AF37" s="19" t="str">
        <f t="shared" si="12"/>
        <v/>
      </c>
      <c r="AG37" s="19" t="str">
        <f t="shared" si="13"/>
        <v/>
      </c>
    </row>
    <row r="38" spans="1:33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ref="J38:J42" si="14">SUM(D38:I38)</f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ref="W38:W42" si="15">SUM(K38:V38)</f>
        <v>0</v>
      </c>
      <c r="X38" s="10">
        <v>0</v>
      </c>
      <c r="Y38" s="10">
        <v>0</v>
      </c>
      <c r="Z38" s="10">
        <f t="shared" si="9"/>
        <v>0</v>
      </c>
      <c r="AB38" s="43" t="s">
        <v>89</v>
      </c>
      <c r="AC38" s="19" t="str">
        <f t="shared" si="10"/>
        <v/>
      </c>
      <c r="AD38" s="19" t="str">
        <f t="shared" si="10"/>
        <v/>
      </c>
      <c r="AE38" s="19" t="str">
        <f t="shared" si="11"/>
        <v/>
      </c>
      <c r="AF38" s="19" t="str">
        <f t="shared" si="12"/>
        <v/>
      </c>
      <c r="AG38" s="19" t="str">
        <f t="shared" si="13"/>
        <v/>
      </c>
    </row>
    <row r="39" spans="1:33" x14ac:dyDescent="0.25">
      <c r="A39" s="43" t="s">
        <v>32</v>
      </c>
      <c r="B39" s="10">
        <v>15</v>
      </c>
      <c r="C39" s="10">
        <v>1</v>
      </c>
      <c r="D39" s="10">
        <v>1</v>
      </c>
      <c r="E39" s="10">
        <v>0</v>
      </c>
      <c r="F39" s="10">
        <v>0</v>
      </c>
      <c r="G39" s="10">
        <v>0</v>
      </c>
      <c r="H39" s="10">
        <v>0</v>
      </c>
      <c r="I39" s="10">
        <v>1</v>
      </c>
      <c r="J39" s="10">
        <f t="shared" si="14"/>
        <v>2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f t="shared" si="15"/>
        <v>0</v>
      </c>
      <c r="X39" s="10">
        <v>0</v>
      </c>
      <c r="Y39" s="10">
        <v>0</v>
      </c>
      <c r="Z39" s="10">
        <f t="shared" si="9"/>
        <v>0</v>
      </c>
      <c r="AB39" s="43" t="s">
        <v>32</v>
      </c>
      <c r="AC39" s="19">
        <f t="shared" si="10"/>
        <v>0.83333333333333337</v>
      </c>
      <c r="AD39" s="19">
        <f t="shared" si="10"/>
        <v>5.5555555555555552E-2</v>
      </c>
      <c r="AE39" s="19">
        <f t="shared" si="11"/>
        <v>0.1111111111111111</v>
      </c>
      <c r="AF39" s="19">
        <f t="shared" si="12"/>
        <v>0</v>
      </c>
      <c r="AG39" s="19">
        <f t="shared" si="13"/>
        <v>0</v>
      </c>
    </row>
    <row r="40" spans="1:33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14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15"/>
        <v>0</v>
      </c>
      <c r="X40" s="10">
        <v>0</v>
      </c>
      <c r="Y40" s="10">
        <v>0</v>
      </c>
      <c r="Z40" s="10">
        <f t="shared" si="9"/>
        <v>0</v>
      </c>
      <c r="AB40" s="43" t="s">
        <v>90</v>
      </c>
      <c r="AC40" s="19" t="str">
        <f t="shared" si="10"/>
        <v/>
      </c>
      <c r="AD40" s="19" t="str">
        <f t="shared" si="10"/>
        <v/>
      </c>
      <c r="AE40" s="19" t="str">
        <f t="shared" si="11"/>
        <v/>
      </c>
      <c r="AF40" s="19" t="str">
        <f t="shared" si="12"/>
        <v/>
      </c>
      <c r="AG40" s="19" t="str">
        <f t="shared" si="13"/>
        <v/>
      </c>
    </row>
    <row r="41" spans="1:33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14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5"/>
        <v>0</v>
      </c>
      <c r="X41" s="10">
        <v>0</v>
      </c>
      <c r="Y41" s="10">
        <v>0</v>
      </c>
      <c r="Z41" s="10">
        <f t="shared" si="9"/>
        <v>0</v>
      </c>
      <c r="AB41" s="43" t="s">
        <v>91</v>
      </c>
      <c r="AC41" s="19" t="str">
        <f t="shared" si="10"/>
        <v/>
      </c>
      <c r="AD41" s="19" t="str">
        <f t="shared" si="10"/>
        <v/>
      </c>
      <c r="AE41" s="19" t="str">
        <f t="shared" si="11"/>
        <v/>
      </c>
      <c r="AF41" s="19" t="str">
        <f t="shared" si="12"/>
        <v/>
      </c>
      <c r="AG41" s="19" t="str">
        <f t="shared" si="13"/>
        <v/>
      </c>
    </row>
    <row r="42" spans="1:33" x14ac:dyDescent="0.25">
      <c r="A42" s="52" t="s">
        <v>33</v>
      </c>
      <c r="B42" s="53">
        <v>3853</v>
      </c>
      <c r="C42" s="53">
        <v>62</v>
      </c>
      <c r="D42" s="53">
        <v>16</v>
      </c>
      <c r="E42" s="53">
        <v>9</v>
      </c>
      <c r="F42" s="53">
        <v>4</v>
      </c>
      <c r="G42" s="53">
        <v>5</v>
      </c>
      <c r="H42" s="53">
        <v>1</v>
      </c>
      <c r="I42" s="53">
        <v>3</v>
      </c>
      <c r="J42" s="115">
        <f t="shared" si="14"/>
        <v>38</v>
      </c>
      <c r="K42" s="53">
        <v>0</v>
      </c>
      <c r="L42" s="53">
        <v>1</v>
      </c>
      <c r="M42" s="53">
        <v>0</v>
      </c>
      <c r="N42" s="53">
        <v>1</v>
      </c>
      <c r="O42" s="53">
        <v>0</v>
      </c>
      <c r="P42" s="53">
        <v>2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115">
        <f t="shared" si="15"/>
        <v>4</v>
      </c>
      <c r="X42" s="53">
        <v>0</v>
      </c>
      <c r="Y42" s="53">
        <v>0</v>
      </c>
      <c r="Z42" s="115">
        <f t="shared" si="9"/>
        <v>0</v>
      </c>
      <c r="AB42" s="52" t="s">
        <v>33</v>
      </c>
      <c r="AC42" s="65">
        <f t="shared" si="10"/>
        <v>0.97371746272428605</v>
      </c>
      <c r="AD42" s="65">
        <f t="shared" si="10"/>
        <v>1.5668435683598686E-2</v>
      </c>
      <c r="AE42" s="134">
        <f t="shared" si="11"/>
        <v>9.6032347738185496E-3</v>
      </c>
      <c r="AF42" s="134">
        <f t="shared" si="12"/>
        <v>1.0108668182966893E-3</v>
      </c>
      <c r="AG42" s="134">
        <f t="shared" si="13"/>
        <v>0</v>
      </c>
    </row>
    <row r="45" spans="1:33" x14ac:dyDescent="0.25">
      <c r="A45" s="72"/>
      <c r="B45" s="72"/>
      <c r="C45" s="98" t="s">
        <v>105</v>
      </c>
      <c r="J45" s="74" t="s">
        <v>106</v>
      </c>
    </row>
    <row r="46" spans="1:33" x14ac:dyDescent="0.25">
      <c r="A46" s="215" t="s">
        <v>4</v>
      </c>
      <c r="B46" s="97" t="s">
        <v>107</v>
      </c>
      <c r="C46" s="19">
        <v>0.17717567736296669</v>
      </c>
      <c r="J46" s="77">
        <v>0.7</v>
      </c>
    </row>
    <row r="47" spans="1:33" x14ac:dyDescent="0.25">
      <c r="A47" s="215"/>
      <c r="B47" s="78" t="s">
        <v>108</v>
      </c>
      <c r="C47" s="19">
        <v>0.19448953260914803</v>
      </c>
      <c r="J47" s="77">
        <v>0.15</v>
      </c>
    </row>
    <row r="48" spans="1:33" x14ac:dyDescent="0.25">
      <c r="A48" s="215"/>
      <c r="B48" s="97" t="s">
        <v>93</v>
      </c>
      <c r="C48" s="19">
        <v>0.62833479002788539</v>
      </c>
      <c r="J48" s="77">
        <v>0.15</v>
      </c>
    </row>
    <row r="49" spans="1:10" x14ac:dyDescent="0.25">
      <c r="A49" s="215"/>
      <c r="B49" s="97" t="s">
        <v>109</v>
      </c>
      <c r="C49" s="77">
        <v>0</v>
      </c>
      <c r="J49" s="77">
        <v>0</v>
      </c>
    </row>
    <row r="50" spans="1:10" x14ac:dyDescent="0.25">
      <c r="A50" s="215"/>
      <c r="B50" s="97" t="s">
        <v>95</v>
      </c>
      <c r="C50" s="77">
        <v>0</v>
      </c>
      <c r="J50" s="77">
        <v>0</v>
      </c>
    </row>
    <row r="51" spans="1:10" x14ac:dyDescent="0.25">
      <c r="A51" s="215" t="s">
        <v>14</v>
      </c>
      <c r="B51" s="97" t="s">
        <v>107</v>
      </c>
      <c r="C51" s="29">
        <v>0.73983272173621828</v>
      </c>
      <c r="J51" s="77">
        <v>0.97812660833762222</v>
      </c>
    </row>
    <row r="52" spans="1:10" x14ac:dyDescent="0.25">
      <c r="A52" s="215"/>
      <c r="B52" s="78" t="s">
        <v>108</v>
      </c>
      <c r="C52" s="29">
        <v>8.5644379323626299E-2</v>
      </c>
      <c r="J52" s="77">
        <v>1.3638703036541432E-2</v>
      </c>
    </row>
    <row r="53" spans="1:10" x14ac:dyDescent="0.25">
      <c r="A53" s="215"/>
      <c r="B53" s="97" t="s">
        <v>93</v>
      </c>
      <c r="C53" s="29">
        <v>0.11655938157123315</v>
      </c>
      <c r="J53" s="77">
        <v>7.205352547606794E-3</v>
      </c>
    </row>
    <row r="54" spans="1:10" x14ac:dyDescent="0.25">
      <c r="A54" s="215"/>
      <c r="B54" s="97" t="s">
        <v>109</v>
      </c>
      <c r="C54" s="29">
        <v>5.7963517368922329E-2</v>
      </c>
      <c r="J54" s="77">
        <v>1.029336078229542E-3</v>
      </c>
    </row>
    <row r="55" spans="1:10" x14ac:dyDescent="0.25">
      <c r="A55" s="215"/>
      <c r="B55" s="97" t="s">
        <v>95</v>
      </c>
      <c r="C55" s="29">
        <v>0</v>
      </c>
      <c r="J55" s="77">
        <v>0</v>
      </c>
    </row>
  </sheetData>
  <mergeCells count="4">
    <mergeCell ref="C3:D3"/>
    <mergeCell ref="AB3:AC3"/>
    <mergeCell ref="A46:A50"/>
    <mergeCell ref="A51:A55"/>
  </mergeCells>
  <hyperlinks>
    <hyperlink ref="C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A22" workbookViewId="0">
      <selection activeCell="B1" sqref="B1:C1"/>
    </sheetView>
  </sheetViews>
  <sheetFormatPr baseColWidth="10" defaultRowHeight="15" x14ac:dyDescent="0.25"/>
  <cols>
    <col min="1" max="1" width="28" customWidth="1"/>
    <col min="4" max="7" width="6.7109375" hidden="1" customWidth="1"/>
    <col min="8" max="9" width="7.140625" hidden="1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4" max="24" width="9.140625" hidden="1" customWidth="1"/>
    <col min="25" max="25" width="5.5703125" hidden="1" customWidth="1"/>
    <col min="28" max="28" width="24.85546875" customWidth="1"/>
    <col min="29" max="29" width="14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54" t="s">
        <v>41</v>
      </c>
    </row>
    <row r="3" spans="1:33" x14ac:dyDescent="0.25">
      <c r="A3" s="216" t="s">
        <v>139</v>
      </c>
      <c r="B3" s="216"/>
      <c r="C3" s="216"/>
      <c r="D3" s="216"/>
      <c r="AB3" s="216" t="s">
        <v>139</v>
      </c>
      <c r="AC3" s="216"/>
      <c r="AD3" s="87"/>
      <c r="AE3" s="87"/>
    </row>
    <row r="4" spans="1:33" ht="15.75" x14ac:dyDescent="0.25">
      <c r="A4" s="50" t="s">
        <v>56</v>
      </c>
      <c r="B4" s="51" t="s">
        <v>61</v>
      </c>
      <c r="C4" s="51" t="s">
        <v>62</v>
      </c>
      <c r="D4" s="51" t="s">
        <v>63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62" t="s">
        <v>93</v>
      </c>
      <c r="K4" s="51" t="s">
        <v>69</v>
      </c>
      <c r="L4" s="51" t="s">
        <v>70</v>
      </c>
      <c r="M4" s="51" t="s">
        <v>71</v>
      </c>
      <c r="N4" s="51" t="s">
        <v>72</v>
      </c>
      <c r="O4" s="51" t="s">
        <v>73</v>
      </c>
      <c r="P4" s="51" t="s">
        <v>74</v>
      </c>
      <c r="Q4" s="51" t="s">
        <v>75</v>
      </c>
      <c r="R4" s="51" t="s">
        <v>76</v>
      </c>
      <c r="S4" s="51" t="s">
        <v>77</v>
      </c>
      <c r="T4" s="51" t="s">
        <v>78</v>
      </c>
      <c r="U4" s="51" t="s">
        <v>79</v>
      </c>
      <c r="V4" s="51" t="s">
        <v>80</v>
      </c>
      <c r="W4" s="60" t="s">
        <v>94</v>
      </c>
      <c r="X4" s="51" t="s">
        <v>81</v>
      </c>
      <c r="Y4" s="51" t="s">
        <v>82</v>
      </c>
      <c r="Z4" s="60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43" t="s">
        <v>4</v>
      </c>
      <c r="B5" s="10">
        <v>850.10699999999895</v>
      </c>
      <c r="C5" s="10">
        <v>549.79499999999996</v>
      </c>
      <c r="D5" s="10">
        <v>321.04000000000002</v>
      </c>
      <c r="E5" s="10">
        <v>160.36000000000001</v>
      </c>
      <c r="F5" s="10">
        <v>240.71</v>
      </c>
      <c r="G5" s="10">
        <v>188.31</v>
      </c>
      <c r="H5" s="10">
        <v>160.72999999999999</v>
      </c>
      <c r="I5" s="10">
        <v>113.78</v>
      </c>
      <c r="J5" s="10">
        <f>SUM(D5:I5)</f>
        <v>1184.93</v>
      </c>
      <c r="K5" s="10">
        <v>44</v>
      </c>
      <c r="L5" s="10">
        <v>139.88</v>
      </c>
      <c r="M5" s="10">
        <v>0</v>
      </c>
      <c r="N5" s="10">
        <v>59.36</v>
      </c>
      <c r="O5" s="10">
        <v>0</v>
      </c>
      <c r="P5" s="10">
        <v>0</v>
      </c>
      <c r="Q5" s="10">
        <v>71.83</v>
      </c>
      <c r="R5" s="10">
        <v>79.81</v>
      </c>
      <c r="S5" s="10">
        <v>0</v>
      </c>
      <c r="T5" s="10">
        <v>87.5</v>
      </c>
      <c r="U5" s="10">
        <v>0</v>
      </c>
      <c r="V5" s="10">
        <v>0</v>
      </c>
      <c r="W5" s="10">
        <f>SUM(K5:V5)</f>
        <v>482.38</v>
      </c>
      <c r="X5" s="10">
        <v>0</v>
      </c>
      <c r="Y5" s="10">
        <v>0</v>
      </c>
      <c r="Z5" s="10">
        <f>SUM(X5:Y5)</f>
        <v>0</v>
      </c>
      <c r="AB5" s="43" t="s">
        <v>4</v>
      </c>
      <c r="AC5" s="19">
        <f t="shared" ref="AC5:AC21" si="0">IFERROR(B5/SUM($B5+$C5+$J5+$W5+$Z5),"")</f>
        <v>0.27715951815524953</v>
      </c>
      <c r="AD5" s="19">
        <f t="shared" ref="AD5:AD21" si="1">IFERROR(C5/SUM($B5+$C5+$J5+$W5+$Z5),"")</f>
        <v>0.17924910309427589</v>
      </c>
      <c r="AE5" s="19">
        <f t="shared" ref="AE5:AE21" si="2">IFERROR(J5/SUM($B5+$C5+$J5+$W5+$Z5),"")</f>
        <v>0.38632151934721187</v>
      </c>
      <c r="AF5" s="19">
        <f t="shared" ref="AF5:AF21" si="3">IFERROR(W5/SUM($B5+$C5+$J5+$W5+$Z5),"")</f>
        <v>0.15726985940326269</v>
      </c>
      <c r="AG5" s="19">
        <f t="shared" ref="AG5:AG21" si="4">IFERROR(Z5/SUM($B5+$C5+$J5+$W5+$Z5),"")</f>
        <v>0</v>
      </c>
    </row>
    <row r="6" spans="1:33" x14ac:dyDescent="0.25">
      <c r="A6" s="43" t="s">
        <v>43</v>
      </c>
      <c r="B6" s="10">
        <v>1.75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ref="J6:J21" si="5">SUM(D6:I6)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1" si="6">SUM(K6:V6)</f>
        <v>0</v>
      </c>
      <c r="X6" s="10">
        <v>0</v>
      </c>
      <c r="Y6" s="10">
        <v>0</v>
      </c>
      <c r="Z6" s="10">
        <f t="shared" ref="Z6:Z21" si="7">SUM(X6:Y6)</f>
        <v>0</v>
      </c>
      <c r="AB6" s="43" t="s">
        <v>43</v>
      </c>
      <c r="AC6" s="19">
        <f t="shared" si="0"/>
        <v>1</v>
      </c>
      <c r="AD6" s="19">
        <f t="shared" si="1"/>
        <v>0</v>
      </c>
      <c r="AE6" s="19">
        <f t="shared" si="2"/>
        <v>0</v>
      </c>
      <c r="AF6" s="19">
        <f t="shared" si="3"/>
        <v>0</v>
      </c>
      <c r="AG6" s="19">
        <f t="shared" si="4"/>
        <v>0</v>
      </c>
    </row>
    <row r="7" spans="1:33" x14ac:dyDescent="0.25">
      <c r="A7" s="43" t="s">
        <v>13</v>
      </c>
      <c r="B7" s="10">
        <v>7.0000000000000007E-2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5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6"/>
        <v>0</v>
      </c>
      <c r="X7" s="10">
        <v>0</v>
      </c>
      <c r="Y7" s="10">
        <v>0</v>
      </c>
      <c r="Z7" s="10">
        <f t="shared" si="7"/>
        <v>0</v>
      </c>
      <c r="AB7" s="43" t="s">
        <v>13</v>
      </c>
      <c r="AC7" s="19">
        <f t="shared" si="0"/>
        <v>1</v>
      </c>
      <c r="AD7" s="19">
        <f t="shared" si="1"/>
        <v>0</v>
      </c>
      <c r="AE7" s="19">
        <f t="shared" si="2"/>
        <v>0</v>
      </c>
      <c r="AF7" s="19">
        <f t="shared" si="3"/>
        <v>0</v>
      </c>
      <c r="AG7" s="19">
        <f t="shared" si="4"/>
        <v>0</v>
      </c>
    </row>
    <row r="8" spans="1:33" x14ac:dyDescent="0.25">
      <c r="A8" s="43" t="s">
        <v>14</v>
      </c>
      <c r="B8" s="10">
        <v>2516.1366666666599</v>
      </c>
      <c r="C8" s="10">
        <v>1443.4</v>
      </c>
      <c r="D8" s="10">
        <v>682.46500000000003</v>
      </c>
      <c r="E8" s="10">
        <v>436.37</v>
      </c>
      <c r="F8" s="10">
        <v>575.80999999999995</v>
      </c>
      <c r="G8" s="10">
        <v>194.61</v>
      </c>
      <c r="H8" s="10">
        <v>187.92</v>
      </c>
      <c r="I8" s="10">
        <v>373.79</v>
      </c>
      <c r="J8" s="10">
        <f t="shared" si="5"/>
        <v>2450.9650000000001</v>
      </c>
      <c r="K8" s="10">
        <v>126.78</v>
      </c>
      <c r="L8" s="10">
        <v>143.12</v>
      </c>
      <c r="M8" s="10">
        <v>209.74</v>
      </c>
      <c r="N8" s="10">
        <v>173.76</v>
      </c>
      <c r="O8" s="10">
        <v>247.79</v>
      </c>
      <c r="P8" s="10">
        <v>199.43</v>
      </c>
      <c r="Q8" s="10">
        <v>0</v>
      </c>
      <c r="R8" s="10">
        <v>0</v>
      </c>
      <c r="S8" s="10">
        <v>0</v>
      </c>
      <c r="T8" s="10">
        <v>85.78</v>
      </c>
      <c r="U8" s="10">
        <v>0</v>
      </c>
      <c r="V8" s="10">
        <v>96.61</v>
      </c>
      <c r="W8" s="10">
        <f t="shared" si="6"/>
        <v>1283.0099999999998</v>
      </c>
      <c r="X8" s="10">
        <v>550.84</v>
      </c>
      <c r="Y8" s="10">
        <v>477.09</v>
      </c>
      <c r="Z8" s="10">
        <f t="shared" si="7"/>
        <v>1027.93</v>
      </c>
      <c r="AB8" s="43" t="s">
        <v>14</v>
      </c>
      <c r="AC8" s="19">
        <f t="shared" si="0"/>
        <v>0.28850008551720657</v>
      </c>
      <c r="AD8" s="19">
        <f t="shared" si="1"/>
        <v>0.16550016100166939</v>
      </c>
      <c r="AE8" s="19">
        <f t="shared" si="2"/>
        <v>0.28102750596470599</v>
      </c>
      <c r="AF8" s="19">
        <f t="shared" si="3"/>
        <v>0.14710985282440889</v>
      </c>
      <c r="AG8" s="19">
        <f t="shared" si="4"/>
        <v>0.11786239469200915</v>
      </c>
    </row>
    <row r="9" spans="1:33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5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6"/>
        <v>0</v>
      </c>
      <c r="X9" s="10">
        <v>0</v>
      </c>
      <c r="Y9" s="10">
        <v>0</v>
      </c>
      <c r="Z9" s="10">
        <f t="shared" si="7"/>
        <v>0</v>
      </c>
      <c r="AB9" s="43" t="s">
        <v>36</v>
      </c>
      <c r="AC9" s="19" t="str">
        <f t="shared" si="0"/>
        <v/>
      </c>
      <c r="AD9" s="19" t="str">
        <f t="shared" si="1"/>
        <v/>
      </c>
      <c r="AE9" s="19" t="str">
        <f t="shared" si="2"/>
        <v/>
      </c>
      <c r="AF9" s="19" t="str">
        <f t="shared" si="3"/>
        <v/>
      </c>
      <c r="AG9" s="19" t="str">
        <f t="shared" si="4"/>
        <v/>
      </c>
    </row>
    <row r="10" spans="1:33" x14ac:dyDescent="0.25">
      <c r="A10" s="43" t="s">
        <v>39</v>
      </c>
      <c r="B10" s="10">
        <v>6.78</v>
      </c>
      <c r="C10" s="10">
        <v>5.13</v>
      </c>
      <c r="D10" s="10">
        <v>22.87</v>
      </c>
      <c r="E10" s="10">
        <v>17.55</v>
      </c>
      <c r="F10" s="10">
        <v>24.69</v>
      </c>
      <c r="G10" s="10">
        <v>0</v>
      </c>
      <c r="H10" s="10">
        <v>0</v>
      </c>
      <c r="I10" s="10">
        <v>0</v>
      </c>
      <c r="J10" s="10">
        <f t="shared" si="5"/>
        <v>65.11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6"/>
        <v>0</v>
      </c>
      <c r="X10" s="10">
        <v>0</v>
      </c>
      <c r="Y10" s="10">
        <v>0</v>
      </c>
      <c r="Z10" s="10">
        <f t="shared" si="7"/>
        <v>0</v>
      </c>
      <c r="AB10" s="43" t="s">
        <v>39</v>
      </c>
      <c r="AC10" s="19">
        <f t="shared" si="0"/>
        <v>8.802908335497274E-2</v>
      </c>
      <c r="AD10" s="19">
        <f t="shared" si="1"/>
        <v>6.6606076343806803E-2</v>
      </c>
      <c r="AE10" s="19">
        <f t="shared" si="2"/>
        <v>0.8453648403012205</v>
      </c>
      <c r="AF10" s="19">
        <f t="shared" si="3"/>
        <v>0</v>
      </c>
      <c r="AG10" s="19">
        <f t="shared" si="4"/>
        <v>0</v>
      </c>
    </row>
    <row r="11" spans="1:33" x14ac:dyDescent="0.25">
      <c r="A11" s="43" t="s">
        <v>18</v>
      </c>
      <c r="B11" s="10">
        <v>1.93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5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6"/>
        <v>0</v>
      </c>
      <c r="X11" s="10">
        <v>0</v>
      </c>
      <c r="Y11" s="10">
        <v>0</v>
      </c>
      <c r="Z11" s="10">
        <f t="shared" si="7"/>
        <v>0</v>
      </c>
      <c r="AB11" s="43" t="s">
        <v>18</v>
      </c>
      <c r="AC11" s="19">
        <f t="shared" si="0"/>
        <v>1</v>
      </c>
      <c r="AD11" s="19">
        <f t="shared" si="1"/>
        <v>0</v>
      </c>
      <c r="AE11" s="19">
        <f t="shared" si="2"/>
        <v>0</v>
      </c>
      <c r="AF11" s="19">
        <f t="shared" si="3"/>
        <v>0</v>
      </c>
      <c r="AG11" s="19">
        <f t="shared" si="4"/>
        <v>0</v>
      </c>
    </row>
    <row r="12" spans="1:33" x14ac:dyDescent="0.25">
      <c r="A12" s="43" t="s">
        <v>19</v>
      </c>
      <c r="B12" s="10">
        <v>11.02</v>
      </c>
      <c r="C12" s="10">
        <v>0</v>
      </c>
      <c r="D12" s="10">
        <v>0</v>
      </c>
      <c r="E12" s="10">
        <v>18.91</v>
      </c>
      <c r="F12" s="10">
        <v>0</v>
      </c>
      <c r="G12" s="10">
        <v>0</v>
      </c>
      <c r="H12" s="10">
        <v>0</v>
      </c>
      <c r="I12" s="10">
        <v>0</v>
      </c>
      <c r="J12" s="10">
        <f t="shared" si="5"/>
        <v>18.91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6"/>
        <v>0</v>
      </c>
      <c r="X12" s="10">
        <v>0</v>
      </c>
      <c r="Y12" s="10">
        <v>0</v>
      </c>
      <c r="Z12" s="10">
        <f t="shared" si="7"/>
        <v>0</v>
      </c>
      <c r="AB12" s="43" t="s">
        <v>19</v>
      </c>
      <c r="AC12" s="19">
        <f t="shared" si="0"/>
        <v>0.36819244904777815</v>
      </c>
      <c r="AD12" s="19">
        <f t="shared" si="1"/>
        <v>0</v>
      </c>
      <c r="AE12" s="19">
        <f t="shared" si="2"/>
        <v>0.63180755095222185</v>
      </c>
      <c r="AF12" s="19">
        <f t="shared" si="3"/>
        <v>0</v>
      </c>
      <c r="AG12" s="19">
        <f t="shared" si="4"/>
        <v>0</v>
      </c>
    </row>
    <row r="13" spans="1:33" x14ac:dyDescent="0.25">
      <c r="A13" s="43" t="s">
        <v>23</v>
      </c>
      <c r="B13" s="10">
        <v>1.07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5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6"/>
        <v>0</v>
      </c>
      <c r="X13" s="10">
        <v>0</v>
      </c>
      <c r="Y13" s="10">
        <v>0</v>
      </c>
      <c r="Z13" s="10">
        <f t="shared" si="7"/>
        <v>0</v>
      </c>
      <c r="AB13" s="43" t="s">
        <v>23</v>
      </c>
      <c r="AC13" s="19">
        <f t="shared" si="0"/>
        <v>1</v>
      </c>
      <c r="AD13" s="19">
        <f t="shared" si="1"/>
        <v>0</v>
      </c>
      <c r="AE13" s="19">
        <f t="shared" si="2"/>
        <v>0</v>
      </c>
      <c r="AF13" s="19">
        <f t="shared" si="3"/>
        <v>0</v>
      </c>
      <c r="AG13" s="19">
        <f t="shared" si="4"/>
        <v>0</v>
      </c>
    </row>
    <row r="14" spans="1:33" x14ac:dyDescent="0.25">
      <c r="A14" s="43" t="s">
        <v>26</v>
      </c>
      <c r="B14" s="10">
        <v>0.02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5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6"/>
        <v>0</v>
      </c>
      <c r="X14" s="10">
        <v>0</v>
      </c>
      <c r="Y14" s="10">
        <v>0</v>
      </c>
      <c r="Z14" s="10">
        <f t="shared" si="7"/>
        <v>0</v>
      </c>
      <c r="AB14" s="43" t="s">
        <v>26</v>
      </c>
      <c r="AC14" s="19">
        <f t="shared" si="0"/>
        <v>1</v>
      </c>
      <c r="AD14" s="19">
        <f t="shared" si="1"/>
        <v>0</v>
      </c>
      <c r="AE14" s="19">
        <f t="shared" si="2"/>
        <v>0</v>
      </c>
      <c r="AF14" s="19">
        <f t="shared" si="3"/>
        <v>0</v>
      </c>
      <c r="AG14" s="19">
        <f t="shared" si="4"/>
        <v>0</v>
      </c>
    </row>
    <row r="15" spans="1:33" x14ac:dyDescent="0.25">
      <c r="A15" s="43" t="s">
        <v>160</v>
      </c>
      <c r="B15" s="10">
        <v>50.452500000000001</v>
      </c>
      <c r="C15" s="10">
        <v>7.88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5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6"/>
        <v>0</v>
      </c>
      <c r="X15" s="10">
        <v>0</v>
      </c>
      <c r="Y15" s="10">
        <v>0</v>
      </c>
      <c r="Z15" s="10">
        <f t="shared" si="7"/>
        <v>0</v>
      </c>
      <c r="AB15" s="43" t="s">
        <v>160</v>
      </c>
      <c r="AC15" s="19">
        <f t="shared" si="0"/>
        <v>0.8649123558907984</v>
      </c>
      <c r="AD15" s="19">
        <f t="shared" si="1"/>
        <v>0.13508764410920154</v>
      </c>
      <c r="AE15" s="19">
        <f t="shared" si="2"/>
        <v>0</v>
      </c>
      <c r="AF15" s="19">
        <f t="shared" si="3"/>
        <v>0</v>
      </c>
      <c r="AG15" s="19">
        <f t="shared" si="4"/>
        <v>0</v>
      </c>
    </row>
    <row r="16" spans="1:33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5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6"/>
        <v>0</v>
      </c>
      <c r="X16" s="10">
        <v>0</v>
      </c>
      <c r="Y16" s="10">
        <v>0</v>
      </c>
      <c r="Z16" s="10">
        <f t="shared" si="7"/>
        <v>0</v>
      </c>
      <c r="AB16" s="43" t="s">
        <v>161</v>
      </c>
      <c r="AC16" s="19" t="str">
        <f t="shared" si="0"/>
        <v/>
      </c>
      <c r="AD16" s="19" t="str">
        <f t="shared" si="1"/>
        <v/>
      </c>
      <c r="AE16" s="19" t="str">
        <f t="shared" si="2"/>
        <v/>
      </c>
      <c r="AF16" s="19" t="str">
        <f t="shared" si="3"/>
        <v/>
      </c>
      <c r="AG16" s="19" t="str">
        <f t="shared" si="4"/>
        <v/>
      </c>
    </row>
    <row r="17" spans="1:33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29.99</v>
      </c>
      <c r="H17" s="10">
        <v>0</v>
      </c>
      <c r="I17" s="10">
        <v>0</v>
      </c>
      <c r="J17" s="10">
        <f t="shared" si="5"/>
        <v>29.99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6"/>
        <v>0</v>
      </c>
      <c r="X17" s="10">
        <v>0</v>
      </c>
      <c r="Y17" s="10">
        <v>0</v>
      </c>
      <c r="Z17" s="10">
        <f t="shared" si="7"/>
        <v>0</v>
      </c>
      <c r="AB17" s="43" t="s">
        <v>89</v>
      </c>
      <c r="AC17" s="19">
        <f t="shared" si="0"/>
        <v>0</v>
      </c>
      <c r="AD17" s="19">
        <f t="shared" si="1"/>
        <v>0</v>
      </c>
      <c r="AE17" s="19">
        <f t="shared" si="2"/>
        <v>1</v>
      </c>
      <c r="AF17" s="19">
        <f t="shared" si="3"/>
        <v>0</v>
      </c>
      <c r="AG17" s="19">
        <f t="shared" si="4"/>
        <v>0</v>
      </c>
    </row>
    <row r="18" spans="1:33" x14ac:dyDescent="0.25">
      <c r="A18" s="43" t="s">
        <v>32</v>
      </c>
      <c r="B18" s="10">
        <v>2460.9366666666701</v>
      </c>
      <c r="C18" s="10">
        <v>1413.11</v>
      </c>
      <c r="D18" s="10">
        <v>1114.0416666666699</v>
      </c>
      <c r="E18" s="10">
        <v>669.32</v>
      </c>
      <c r="F18" s="10">
        <v>625.86</v>
      </c>
      <c r="G18" s="10">
        <v>405.05</v>
      </c>
      <c r="H18" s="10">
        <v>324.31</v>
      </c>
      <c r="I18" s="10">
        <v>405.38</v>
      </c>
      <c r="J18" s="10">
        <f t="shared" si="5"/>
        <v>3543.9616666666702</v>
      </c>
      <c r="K18" s="10">
        <v>507.29</v>
      </c>
      <c r="L18" s="10">
        <v>435.94</v>
      </c>
      <c r="M18" s="10">
        <v>314.79000000000002</v>
      </c>
      <c r="N18" s="10">
        <v>398.32</v>
      </c>
      <c r="O18" s="10">
        <v>313.52999999999997</v>
      </c>
      <c r="P18" s="10">
        <v>265.52</v>
      </c>
      <c r="Q18" s="10">
        <v>218.49</v>
      </c>
      <c r="R18" s="10">
        <v>151.38999999999999</v>
      </c>
      <c r="S18" s="10">
        <v>0</v>
      </c>
      <c r="T18" s="10">
        <v>88.74</v>
      </c>
      <c r="U18" s="10">
        <v>370.48</v>
      </c>
      <c r="V18" s="10">
        <v>99.36</v>
      </c>
      <c r="W18" s="10">
        <f t="shared" si="6"/>
        <v>3163.85</v>
      </c>
      <c r="X18" s="10">
        <v>1334.49</v>
      </c>
      <c r="Y18" s="10">
        <v>1303.3</v>
      </c>
      <c r="Z18" s="10">
        <f t="shared" si="7"/>
        <v>2637.79</v>
      </c>
      <c r="AB18" s="43" t="s">
        <v>32</v>
      </c>
      <c r="AC18" s="19">
        <f t="shared" si="0"/>
        <v>0.18615749864248798</v>
      </c>
      <c r="AD18" s="19">
        <f t="shared" si="1"/>
        <v>0.10689467407668048</v>
      </c>
      <c r="AE18" s="19">
        <f t="shared" si="2"/>
        <v>0.26808290033938131</v>
      </c>
      <c r="AF18" s="19">
        <f t="shared" si="3"/>
        <v>0.23932936188796736</v>
      </c>
      <c r="AG18" s="19">
        <f t="shared" si="4"/>
        <v>0.19953556505348277</v>
      </c>
    </row>
    <row r="19" spans="1:33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5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6"/>
        <v>0</v>
      </c>
      <c r="X19" s="10">
        <v>0</v>
      </c>
      <c r="Y19" s="10">
        <v>0</v>
      </c>
      <c r="Z19" s="10">
        <f t="shared" si="7"/>
        <v>0</v>
      </c>
      <c r="AB19" s="43" t="s">
        <v>90</v>
      </c>
      <c r="AC19" s="19" t="str">
        <f t="shared" si="0"/>
        <v/>
      </c>
      <c r="AD19" s="19" t="str">
        <f t="shared" si="1"/>
        <v/>
      </c>
      <c r="AE19" s="19" t="str">
        <f t="shared" si="2"/>
        <v/>
      </c>
      <c r="AF19" s="19" t="str">
        <f t="shared" si="3"/>
        <v/>
      </c>
      <c r="AG19" s="19" t="str">
        <f t="shared" si="4"/>
        <v/>
      </c>
    </row>
    <row r="20" spans="1:33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5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6"/>
        <v>0</v>
      </c>
      <c r="X20" s="10">
        <v>0</v>
      </c>
      <c r="Y20" s="10">
        <v>0</v>
      </c>
      <c r="Z20" s="10">
        <f t="shared" si="7"/>
        <v>0</v>
      </c>
      <c r="AB20" s="43" t="s">
        <v>91</v>
      </c>
      <c r="AC20" s="19" t="str">
        <f t="shared" si="0"/>
        <v/>
      </c>
      <c r="AD20" s="19" t="str">
        <f t="shared" si="1"/>
        <v/>
      </c>
      <c r="AE20" s="19" t="str">
        <f t="shared" si="2"/>
        <v/>
      </c>
      <c r="AF20" s="19" t="str">
        <f t="shared" si="3"/>
        <v/>
      </c>
      <c r="AG20" s="19" t="str">
        <f t="shared" si="4"/>
        <v/>
      </c>
    </row>
    <row r="21" spans="1:33" x14ac:dyDescent="0.25">
      <c r="A21" s="52" t="s">
        <v>33</v>
      </c>
      <c r="B21" s="53">
        <v>5900.2728333333498</v>
      </c>
      <c r="C21" s="53">
        <v>3419.3150000000001</v>
      </c>
      <c r="D21" s="53">
        <v>2140.4166666666702</v>
      </c>
      <c r="E21" s="53">
        <v>1302.51</v>
      </c>
      <c r="F21" s="53">
        <v>1467.07</v>
      </c>
      <c r="G21" s="53">
        <v>817.96</v>
      </c>
      <c r="H21" s="53">
        <v>672.96</v>
      </c>
      <c r="I21" s="53">
        <v>892.95</v>
      </c>
      <c r="J21" s="61">
        <f t="shared" si="5"/>
        <v>7293.8666666666695</v>
      </c>
      <c r="K21" s="53">
        <v>678.07</v>
      </c>
      <c r="L21" s="53">
        <v>718.94</v>
      </c>
      <c r="M21" s="53">
        <v>524.53</v>
      </c>
      <c r="N21" s="53">
        <v>631.44000000000005</v>
      </c>
      <c r="O21" s="53">
        <v>561.32000000000005</v>
      </c>
      <c r="P21" s="53">
        <v>464.95</v>
      </c>
      <c r="Q21" s="53">
        <v>290.32</v>
      </c>
      <c r="R21" s="53">
        <v>231.2</v>
      </c>
      <c r="S21" s="53">
        <v>0</v>
      </c>
      <c r="T21" s="53">
        <v>262.02</v>
      </c>
      <c r="U21" s="53">
        <v>370.48</v>
      </c>
      <c r="V21" s="53">
        <v>195.97</v>
      </c>
      <c r="W21" s="61">
        <f t="shared" si="6"/>
        <v>4929.2400000000007</v>
      </c>
      <c r="X21" s="53">
        <v>1885.33</v>
      </c>
      <c r="Y21" s="53">
        <v>1780.39</v>
      </c>
      <c r="Z21" s="61">
        <f t="shared" si="7"/>
        <v>3665.7200000000003</v>
      </c>
      <c r="AB21" s="52" t="s">
        <v>33</v>
      </c>
      <c r="AC21" s="65">
        <f t="shared" si="0"/>
        <v>0.23405965628395015</v>
      </c>
      <c r="AD21" s="65">
        <f t="shared" si="1"/>
        <v>0.13564181118967228</v>
      </c>
      <c r="AE21" s="134">
        <f t="shared" si="2"/>
        <v>0.28934253943922827</v>
      </c>
      <c r="AF21" s="134">
        <f t="shared" si="3"/>
        <v>0.19553946956878215</v>
      </c>
      <c r="AG21" s="134">
        <f t="shared" si="4"/>
        <v>0.14541652351836715</v>
      </c>
    </row>
    <row r="24" spans="1:33" x14ac:dyDescent="0.25">
      <c r="A24" s="87" t="s">
        <v>140</v>
      </c>
      <c r="B24" s="87"/>
      <c r="AB24" s="83" t="s">
        <v>140</v>
      </c>
      <c r="AC24" s="83"/>
    </row>
    <row r="25" spans="1:33" ht="15.75" x14ac:dyDescent="0.25">
      <c r="A25" s="50" t="s">
        <v>56</v>
      </c>
      <c r="B25" s="51" t="s">
        <v>61</v>
      </c>
      <c r="C25" s="51" t="s">
        <v>62</v>
      </c>
      <c r="D25" s="51" t="s">
        <v>63</v>
      </c>
      <c r="E25" s="51" t="s">
        <v>64</v>
      </c>
      <c r="F25" s="51" t="s">
        <v>65</v>
      </c>
      <c r="G25" s="51" t="s">
        <v>66</v>
      </c>
      <c r="H25" s="51" t="s">
        <v>67</v>
      </c>
      <c r="I25" s="51" t="s">
        <v>68</v>
      </c>
      <c r="J25" s="60" t="s">
        <v>93</v>
      </c>
      <c r="K25" s="51" t="s">
        <v>69</v>
      </c>
      <c r="L25" s="51" t="s">
        <v>70</v>
      </c>
      <c r="M25" s="51" t="s">
        <v>71</v>
      </c>
      <c r="N25" s="51" t="s">
        <v>72</v>
      </c>
      <c r="O25" s="51" t="s">
        <v>73</v>
      </c>
      <c r="P25" s="51" t="s">
        <v>74</v>
      </c>
      <c r="Q25" s="51" t="s">
        <v>75</v>
      </c>
      <c r="R25" s="51" t="s">
        <v>76</v>
      </c>
      <c r="S25" s="51" t="s">
        <v>77</v>
      </c>
      <c r="T25" s="51" t="s">
        <v>78</v>
      </c>
      <c r="U25" s="51" t="s">
        <v>79</v>
      </c>
      <c r="V25" s="51" t="s">
        <v>80</v>
      </c>
      <c r="W25" s="60" t="s">
        <v>94</v>
      </c>
      <c r="X25" s="51" t="s">
        <v>81</v>
      </c>
      <c r="Y25" s="51" t="s">
        <v>82</v>
      </c>
      <c r="Z25" s="60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43" t="s">
        <v>4</v>
      </c>
      <c r="B26" s="10">
        <v>738</v>
      </c>
      <c r="C26" s="10">
        <v>80</v>
      </c>
      <c r="D26" s="10">
        <v>26</v>
      </c>
      <c r="E26" s="10">
        <v>9</v>
      </c>
      <c r="F26" s="10">
        <v>11</v>
      </c>
      <c r="G26" s="10">
        <v>7</v>
      </c>
      <c r="H26" s="10">
        <v>5</v>
      </c>
      <c r="I26" s="10">
        <v>3</v>
      </c>
      <c r="J26" s="10">
        <f>SUM(D26:I26)</f>
        <v>61</v>
      </c>
      <c r="K26" s="10">
        <v>1</v>
      </c>
      <c r="L26" s="10">
        <v>3</v>
      </c>
      <c r="M26" s="10">
        <v>0</v>
      </c>
      <c r="N26" s="10">
        <v>1</v>
      </c>
      <c r="O26" s="10">
        <v>0</v>
      </c>
      <c r="P26" s="10">
        <v>0</v>
      </c>
      <c r="Q26" s="10">
        <v>1</v>
      </c>
      <c r="R26" s="10">
        <v>1</v>
      </c>
      <c r="S26" s="10">
        <v>0</v>
      </c>
      <c r="T26" s="10">
        <v>1</v>
      </c>
      <c r="U26" s="10">
        <v>0</v>
      </c>
      <c r="V26" s="10">
        <v>0</v>
      </c>
      <c r="W26" s="10">
        <f>SUM(K26:V26)</f>
        <v>8</v>
      </c>
      <c r="X26" s="10">
        <v>0</v>
      </c>
      <c r="Y26" s="10">
        <v>0</v>
      </c>
      <c r="Z26" s="10">
        <f>SUM(X26:Y26)</f>
        <v>0</v>
      </c>
      <c r="AB26" s="43" t="s">
        <v>4</v>
      </c>
      <c r="AC26" s="19">
        <f>IFERROR(B26/SUM($B26+$C26+$J26+$W26+$Z26),"")</f>
        <v>0.83201803833145438</v>
      </c>
      <c r="AD26" s="19">
        <f>IFERROR(C26/SUM($B26+$C26+$J26+$W26+$Z26),"")</f>
        <v>9.0191657271702363E-2</v>
      </c>
      <c r="AE26" s="19">
        <f>IFERROR(J26/SUM($B26+$C26+$J26+$W26+$Z26),"")</f>
        <v>6.8771138669673049E-2</v>
      </c>
      <c r="AF26" s="19">
        <f>IFERROR(W26/SUM($B26+$C26+$J26+$W26+$Z26),"")</f>
        <v>9.0191657271702363E-3</v>
      </c>
      <c r="AG26" s="19">
        <f>IFERROR(Z26/SUM($B26+$C26+$J26+$W26+$Z26),"")</f>
        <v>0</v>
      </c>
    </row>
    <row r="27" spans="1:33" x14ac:dyDescent="0.25">
      <c r="A27" s="43" t="s">
        <v>43</v>
      </c>
      <c r="B27" s="10">
        <v>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33" si="8">SUM(D27:I27)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31" si="9">SUM(K27:V27)</f>
        <v>0</v>
      </c>
      <c r="X27" s="10">
        <v>0</v>
      </c>
      <c r="Y27" s="10">
        <v>0</v>
      </c>
      <c r="Z27" s="10">
        <f t="shared" ref="Z27:Z32" si="10">SUM(X27:Y27)</f>
        <v>0</v>
      </c>
      <c r="AB27" s="43" t="s">
        <v>43</v>
      </c>
      <c r="AC27" s="19">
        <f t="shared" ref="AC27:AD42" si="11">IFERROR(B27/SUM($B27+$C27+$J27+$W27+$Z27),"")</f>
        <v>1</v>
      </c>
      <c r="AD27" s="19">
        <f t="shared" si="11"/>
        <v>0</v>
      </c>
      <c r="AE27" s="19">
        <f t="shared" ref="AE27:AE42" si="12">IFERROR(J27/SUM($B27+$C27+$J27+$W27+$Z27),"")</f>
        <v>0</v>
      </c>
      <c r="AF27" s="19">
        <f t="shared" ref="AF27:AF42" si="13">IFERROR(W27/SUM($B27+$C27+$J27+$W27+$Z27),"")</f>
        <v>0</v>
      </c>
      <c r="AG27" s="19">
        <f t="shared" ref="AG27:AG42" si="14">IFERROR(Z27/SUM($B27+$C27+$J27+$W27+$Z27),"")</f>
        <v>0</v>
      </c>
    </row>
    <row r="28" spans="1:33" x14ac:dyDescent="0.25">
      <c r="A28" s="43" t="s">
        <v>13</v>
      </c>
      <c r="B28" s="10">
        <v>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8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9"/>
        <v>0</v>
      </c>
      <c r="X28" s="10">
        <v>0</v>
      </c>
      <c r="Y28" s="10">
        <v>0</v>
      </c>
      <c r="Z28" s="10">
        <f t="shared" si="10"/>
        <v>0</v>
      </c>
      <c r="AB28" s="43" t="s">
        <v>13</v>
      </c>
      <c r="AC28" s="19">
        <f t="shared" si="11"/>
        <v>1</v>
      </c>
      <c r="AD28" s="19">
        <f t="shared" si="11"/>
        <v>0</v>
      </c>
      <c r="AE28" s="19">
        <f t="shared" si="12"/>
        <v>0</v>
      </c>
      <c r="AF28" s="19">
        <f t="shared" si="13"/>
        <v>0</v>
      </c>
      <c r="AG28" s="19">
        <f t="shared" si="14"/>
        <v>0</v>
      </c>
    </row>
    <row r="29" spans="1:33" x14ac:dyDescent="0.25">
      <c r="A29" s="43" t="s">
        <v>14</v>
      </c>
      <c r="B29" s="10">
        <v>1843</v>
      </c>
      <c r="C29" s="10">
        <v>208</v>
      </c>
      <c r="D29" s="10">
        <v>55</v>
      </c>
      <c r="E29" s="10">
        <v>25</v>
      </c>
      <c r="F29" s="10">
        <v>26</v>
      </c>
      <c r="G29" s="10">
        <v>7</v>
      </c>
      <c r="H29" s="10">
        <v>6</v>
      </c>
      <c r="I29" s="10">
        <v>10</v>
      </c>
      <c r="J29" s="10">
        <f t="shared" si="8"/>
        <v>129</v>
      </c>
      <c r="K29" s="10">
        <v>3</v>
      </c>
      <c r="L29" s="10">
        <v>3</v>
      </c>
      <c r="M29" s="10">
        <v>4</v>
      </c>
      <c r="N29" s="10">
        <v>3</v>
      </c>
      <c r="O29" s="10">
        <v>4</v>
      </c>
      <c r="P29" s="10">
        <v>3</v>
      </c>
      <c r="Q29" s="10">
        <v>0</v>
      </c>
      <c r="R29" s="10">
        <v>0</v>
      </c>
      <c r="S29" s="10">
        <v>0</v>
      </c>
      <c r="T29" s="10">
        <v>1</v>
      </c>
      <c r="U29" s="10">
        <v>0</v>
      </c>
      <c r="V29" s="10">
        <v>1</v>
      </c>
      <c r="W29" s="10">
        <f t="shared" si="9"/>
        <v>22</v>
      </c>
      <c r="X29" s="10">
        <v>5</v>
      </c>
      <c r="Y29" s="10">
        <v>3</v>
      </c>
      <c r="Z29" s="10">
        <f t="shared" si="10"/>
        <v>8</v>
      </c>
      <c r="AB29" s="43" t="s">
        <v>14</v>
      </c>
      <c r="AC29" s="19">
        <f t="shared" si="11"/>
        <v>0.83393665158371044</v>
      </c>
      <c r="AD29" s="19">
        <f t="shared" si="11"/>
        <v>9.4117647058823528E-2</v>
      </c>
      <c r="AE29" s="19">
        <f t="shared" si="12"/>
        <v>5.8371040723981901E-2</v>
      </c>
      <c r="AF29" s="19">
        <f t="shared" si="13"/>
        <v>9.9547511312217188E-3</v>
      </c>
      <c r="AG29" s="19">
        <f t="shared" si="14"/>
        <v>3.6199095022624436E-3</v>
      </c>
    </row>
    <row r="30" spans="1:33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8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9"/>
        <v>0</v>
      </c>
      <c r="X30" s="10">
        <v>0</v>
      </c>
      <c r="Y30" s="10">
        <v>0</v>
      </c>
      <c r="Z30" s="10">
        <f t="shared" si="10"/>
        <v>0</v>
      </c>
      <c r="AB30" s="43" t="s">
        <v>36</v>
      </c>
      <c r="AC30" s="19" t="str">
        <f t="shared" si="11"/>
        <v/>
      </c>
      <c r="AD30" s="19" t="str">
        <f t="shared" si="11"/>
        <v/>
      </c>
      <c r="AE30" s="19" t="str">
        <f t="shared" si="12"/>
        <v/>
      </c>
      <c r="AF30" s="19" t="str">
        <f t="shared" si="13"/>
        <v/>
      </c>
      <c r="AG30" s="19" t="str">
        <f t="shared" si="14"/>
        <v/>
      </c>
    </row>
    <row r="31" spans="1:33" x14ac:dyDescent="0.25">
      <c r="A31" s="43" t="s">
        <v>39</v>
      </c>
      <c r="B31" s="10">
        <v>4</v>
      </c>
      <c r="C31" s="10">
        <v>1</v>
      </c>
      <c r="D31" s="10">
        <v>2</v>
      </c>
      <c r="E31" s="10">
        <v>1</v>
      </c>
      <c r="F31" s="10">
        <v>1</v>
      </c>
      <c r="G31" s="10">
        <v>0</v>
      </c>
      <c r="H31" s="10">
        <v>0</v>
      </c>
      <c r="I31" s="10">
        <v>0</v>
      </c>
      <c r="J31" s="10">
        <f t="shared" si="8"/>
        <v>4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9"/>
        <v>0</v>
      </c>
      <c r="X31" s="10">
        <v>0</v>
      </c>
      <c r="Y31" s="10">
        <v>0</v>
      </c>
      <c r="Z31" s="10">
        <f t="shared" si="10"/>
        <v>0</v>
      </c>
      <c r="AB31" s="43" t="s">
        <v>39</v>
      </c>
      <c r="AC31" s="19">
        <f t="shared" si="11"/>
        <v>0.44444444444444442</v>
      </c>
      <c r="AD31" s="19">
        <f t="shared" si="11"/>
        <v>0.1111111111111111</v>
      </c>
      <c r="AE31" s="19">
        <f t="shared" si="12"/>
        <v>0.44444444444444442</v>
      </c>
      <c r="AF31" s="19">
        <f t="shared" si="13"/>
        <v>0</v>
      </c>
      <c r="AG31" s="19">
        <f t="shared" si="14"/>
        <v>0</v>
      </c>
    </row>
    <row r="32" spans="1:33" x14ac:dyDescent="0.25">
      <c r="A32" s="43" t="s">
        <v>18</v>
      </c>
      <c r="B32" s="10">
        <v>2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8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ref="W32:W42" si="15">SUM(K32:V32)</f>
        <v>0</v>
      </c>
      <c r="X32" s="10">
        <v>0</v>
      </c>
      <c r="Y32" s="10">
        <v>0</v>
      </c>
      <c r="Z32" s="10">
        <f t="shared" si="10"/>
        <v>0</v>
      </c>
      <c r="AB32" s="43" t="s">
        <v>18</v>
      </c>
      <c r="AC32" s="19">
        <f t="shared" si="11"/>
        <v>1</v>
      </c>
      <c r="AD32" s="19">
        <f t="shared" si="11"/>
        <v>0</v>
      </c>
      <c r="AE32" s="19">
        <f t="shared" si="12"/>
        <v>0</v>
      </c>
      <c r="AF32" s="19">
        <f t="shared" si="13"/>
        <v>0</v>
      </c>
      <c r="AG32" s="19">
        <f t="shared" si="14"/>
        <v>0</v>
      </c>
    </row>
    <row r="33" spans="1:33" x14ac:dyDescent="0.25">
      <c r="A33" s="43" t="s">
        <v>19</v>
      </c>
      <c r="B33" s="10">
        <v>53</v>
      </c>
      <c r="C33" s="10">
        <v>0</v>
      </c>
      <c r="D33" s="10">
        <v>0</v>
      </c>
      <c r="E33" s="10">
        <v>1</v>
      </c>
      <c r="F33" s="10">
        <v>0</v>
      </c>
      <c r="G33" s="10">
        <v>0</v>
      </c>
      <c r="H33" s="10">
        <v>0</v>
      </c>
      <c r="I33" s="10">
        <v>0</v>
      </c>
      <c r="J33" s="10">
        <f t="shared" si="8"/>
        <v>1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15"/>
        <v>0</v>
      </c>
      <c r="X33" s="10">
        <v>0</v>
      </c>
      <c r="Y33" s="10">
        <v>0</v>
      </c>
      <c r="Z33" s="10">
        <f t="shared" ref="Z33:Z42" si="16">SUM(X33:Y33)</f>
        <v>0</v>
      </c>
      <c r="AB33" s="43" t="s">
        <v>19</v>
      </c>
      <c r="AC33" s="19">
        <f t="shared" si="11"/>
        <v>0.98148148148148151</v>
      </c>
      <c r="AD33" s="19">
        <f t="shared" si="11"/>
        <v>0</v>
      </c>
      <c r="AE33" s="19">
        <f t="shared" si="12"/>
        <v>1.8518518518518517E-2</v>
      </c>
      <c r="AF33" s="19">
        <f t="shared" si="13"/>
        <v>0</v>
      </c>
      <c r="AG33" s="19">
        <f t="shared" si="14"/>
        <v>0</v>
      </c>
    </row>
    <row r="34" spans="1:33" x14ac:dyDescent="0.25">
      <c r="A34" s="43" t="s">
        <v>23</v>
      </c>
      <c r="B34" s="10">
        <v>8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ref="J34:J42" si="17">SUM(D34:I34)</f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15"/>
        <v>0</v>
      </c>
      <c r="X34" s="10">
        <v>0</v>
      </c>
      <c r="Y34" s="10">
        <v>0</v>
      </c>
      <c r="Z34" s="10">
        <f t="shared" si="16"/>
        <v>0</v>
      </c>
      <c r="AB34" s="43" t="s">
        <v>23</v>
      </c>
      <c r="AC34" s="19">
        <f t="shared" si="11"/>
        <v>1</v>
      </c>
      <c r="AD34" s="19">
        <f t="shared" si="11"/>
        <v>0</v>
      </c>
      <c r="AE34" s="19">
        <f t="shared" si="12"/>
        <v>0</v>
      </c>
      <c r="AF34" s="19">
        <f t="shared" si="13"/>
        <v>0</v>
      </c>
      <c r="AG34" s="19">
        <f t="shared" si="14"/>
        <v>0</v>
      </c>
    </row>
    <row r="35" spans="1:33" x14ac:dyDescent="0.25">
      <c r="A35" s="43" t="s">
        <v>26</v>
      </c>
      <c r="B35" s="10">
        <v>1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17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15"/>
        <v>0</v>
      </c>
      <c r="X35" s="10">
        <v>0</v>
      </c>
      <c r="Y35" s="10">
        <v>0</v>
      </c>
      <c r="Z35" s="10">
        <f t="shared" si="16"/>
        <v>0</v>
      </c>
      <c r="AB35" s="43" t="s">
        <v>26</v>
      </c>
      <c r="AC35" s="19">
        <f t="shared" si="11"/>
        <v>1</v>
      </c>
      <c r="AD35" s="19">
        <f t="shared" si="11"/>
        <v>0</v>
      </c>
      <c r="AE35" s="19">
        <f t="shared" si="12"/>
        <v>0</v>
      </c>
      <c r="AF35" s="19">
        <f t="shared" si="13"/>
        <v>0</v>
      </c>
      <c r="AG35" s="19">
        <f t="shared" si="14"/>
        <v>0</v>
      </c>
    </row>
    <row r="36" spans="1:33" x14ac:dyDescent="0.25">
      <c r="A36" s="43" t="s">
        <v>160</v>
      </c>
      <c r="B36" s="10">
        <v>80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17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15"/>
        <v>0</v>
      </c>
      <c r="X36" s="10">
        <v>0</v>
      </c>
      <c r="Y36" s="10">
        <v>0</v>
      </c>
      <c r="Z36" s="10">
        <f t="shared" si="16"/>
        <v>0</v>
      </c>
      <c r="AB36" s="43" t="s">
        <v>160</v>
      </c>
      <c r="AC36" s="19">
        <f t="shared" si="11"/>
        <v>0.98765432098765427</v>
      </c>
      <c r="AD36" s="19">
        <f t="shared" si="11"/>
        <v>1.2345679012345678E-2</v>
      </c>
      <c r="AE36" s="19">
        <f t="shared" si="12"/>
        <v>0</v>
      </c>
      <c r="AF36" s="19">
        <f t="shared" si="13"/>
        <v>0</v>
      </c>
      <c r="AG36" s="19">
        <f t="shared" si="14"/>
        <v>0</v>
      </c>
    </row>
    <row r="37" spans="1:33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17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15"/>
        <v>0</v>
      </c>
      <c r="X37" s="10">
        <v>0</v>
      </c>
      <c r="Y37" s="10">
        <v>0</v>
      </c>
      <c r="Z37" s="10">
        <f t="shared" si="16"/>
        <v>0</v>
      </c>
      <c r="AB37" s="43" t="s">
        <v>161</v>
      </c>
      <c r="AC37" s="19" t="str">
        <f t="shared" si="11"/>
        <v/>
      </c>
      <c r="AD37" s="19" t="str">
        <f t="shared" si="11"/>
        <v/>
      </c>
      <c r="AE37" s="19" t="str">
        <f t="shared" si="12"/>
        <v/>
      </c>
      <c r="AF37" s="19" t="str">
        <f t="shared" si="13"/>
        <v/>
      </c>
      <c r="AG37" s="19" t="str">
        <f t="shared" si="14"/>
        <v/>
      </c>
    </row>
    <row r="38" spans="1:33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0</v>
      </c>
      <c r="J38" s="10">
        <f t="shared" si="17"/>
        <v>1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si="15"/>
        <v>0</v>
      </c>
      <c r="X38" s="10">
        <v>0</v>
      </c>
      <c r="Y38" s="10">
        <v>0</v>
      </c>
      <c r="Z38" s="10">
        <f t="shared" si="16"/>
        <v>0</v>
      </c>
      <c r="AB38" s="43" t="s">
        <v>89</v>
      </c>
      <c r="AC38" s="19">
        <f t="shared" si="11"/>
        <v>0</v>
      </c>
      <c r="AD38" s="19">
        <f t="shared" si="11"/>
        <v>0</v>
      </c>
      <c r="AE38" s="19">
        <f t="shared" si="12"/>
        <v>1</v>
      </c>
      <c r="AF38" s="19">
        <f t="shared" si="13"/>
        <v>0</v>
      </c>
      <c r="AG38" s="19">
        <f t="shared" si="14"/>
        <v>0</v>
      </c>
    </row>
    <row r="39" spans="1:33" x14ac:dyDescent="0.25">
      <c r="A39" s="43" t="s">
        <v>32</v>
      </c>
      <c r="B39" s="10">
        <v>1366</v>
      </c>
      <c r="C39" s="10">
        <v>200</v>
      </c>
      <c r="D39" s="10">
        <v>89</v>
      </c>
      <c r="E39" s="10">
        <v>39</v>
      </c>
      <c r="F39" s="10">
        <v>28</v>
      </c>
      <c r="G39" s="10">
        <v>15</v>
      </c>
      <c r="H39" s="10">
        <v>10</v>
      </c>
      <c r="I39" s="10">
        <v>11</v>
      </c>
      <c r="J39" s="10">
        <f t="shared" si="17"/>
        <v>192</v>
      </c>
      <c r="K39" s="10">
        <v>12</v>
      </c>
      <c r="L39" s="10">
        <v>9</v>
      </c>
      <c r="M39" s="10">
        <v>6</v>
      </c>
      <c r="N39" s="10">
        <v>7</v>
      </c>
      <c r="O39" s="10">
        <v>5</v>
      </c>
      <c r="P39" s="10">
        <v>4</v>
      </c>
      <c r="Q39" s="10">
        <v>3</v>
      </c>
      <c r="R39" s="10">
        <v>2</v>
      </c>
      <c r="S39" s="10">
        <v>0</v>
      </c>
      <c r="T39" s="10">
        <v>1</v>
      </c>
      <c r="U39" s="10">
        <v>4</v>
      </c>
      <c r="V39" s="10">
        <v>1</v>
      </c>
      <c r="W39" s="10">
        <f t="shared" si="15"/>
        <v>54</v>
      </c>
      <c r="X39" s="10">
        <v>11</v>
      </c>
      <c r="Y39" s="10">
        <v>6</v>
      </c>
      <c r="Z39" s="10">
        <f t="shared" si="16"/>
        <v>17</v>
      </c>
      <c r="AB39" s="43" t="s">
        <v>32</v>
      </c>
      <c r="AC39" s="19">
        <f t="shared" si="11"/>
        <v>0.74685620557681798</v>
      </c>
      <c r="AD39" s="19">
        <f t="shared" si="11"/>
        <v>0.10934937124111536</v>
      </c>
      <c r="AE39" s="19">
        <f t="shared" si="12"/>
        <v>0.10497539639147074</v>
      </c>
      <c r="AF39" s="19">
        <f t="shared" si="13"/>
        <v>2.9524330235101148E-2</v>
      </c>
      <c r="AG39" s="19">
        <f t="shared" si="14"/>
        <v>9.2946965554948063E-3</v>
      </c>
    </row>
    <row r="40" spans="1:33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17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15"/>
        <v>0</v>
      </c>
      <c r="X40" s="10">
        <v>0</v>
      </c>
      <c r="Y40" s="10">
        <v>0</v>
      </c>
      <c r="Z40" s="10">
        <f t="shared" si="16"/>
        <v>0</v>
      </c>
      <c r="AB40" s="43" t="s">
        <v>90</v>
      </c>
      <c r="AC40" s="19" t="str">
        <f t="shared" si="11"/>
        <v/>
      </c>
      <c r="AD40" s="19" t="str">
        <f t="shared" si="11"/>
        <v/>
      </c>
      <c r="AE40" s="19" t="str">
        <f t="shared" si="12"/>
        <v/>
      </c>
      <c r="AF40" s="19" t="str">
        <f t="shared" si="13"/>
        <v/>
      </c>
      <c r="AG40" s="19" t="str">
        <f t="shared" si="14"/>
        <v/>
      </c>
    </row>
    <row r="41" spans="1:33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17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5"/>
        <v>0</v>
      </c>
      <c r="X41" s="10">
        <v>0</v>
      </c>
      <c r="Y41" s="10">
        <v>0</v>
      </c>
      <c r="Z41" s="10">
        <f t="shared" si="16"/>
        <v>0</v>
      </c>
      <c r="AB41" s="43" t="s">
        <v>91</v>
      </c>
      <c r="AC41" s="19" t="str">
        <f t="shared" si="11"/>
        <v/>
      </c>
      <c r="AD41" s="19" t="str">
        <f t="shared" si="11"/>
        <v/>
      </c>
      <c r="AE41" s="19" t="str">
        <f t="shared" si="12"/>
        <v/>
      </c>
      <c r="AF41" s="19" t="str">
        <f t="shared" si="13"/>
        <v/>
      </c>
      <c r="AG41" s="19" t="str">
        <f t="shared" si="14"/>
        <v/>
      </c>
    </row>
    <row r="42" spans="1:33" x14ac:dyDescent="0.25">
      <c r="A42" s="52" t="s">
        <v>33</v>
      </c>
      <c r="B42" s="53">
        <v>4098</v>
      </c>
      <c r="C42" s="53">
        <v>490</v>
      </c>
      <c r="D42" s="53">
        <v>172</v>
      </c>
      <c r="E42" s="53">
        <v>75</v>
      </c>
      <c r="F42" s="53">
        <v>66</v>
      </c>
      <c r="G42" s="53">
        <v>30</v>
      </c>
      <c r="H42" s="53">
        <v>21</v>
      </c>
      <c r="I42" s="53">
        <v>24</v>
      </c>
      <c r="J42" s="61">
        <f t="shared" si="17"/>
        <v>388</v>
      </c>
      <c r="K42" s="53">
        <v>16</v>
      </c>
      <c r="L42" s="53">
        <v>15</v>
      </c>
      <c r="M42" s="53">
        <v>10</v>
      </c>
      <c r="N42" s="53">
        <v>11</v>
      </c>
      <c r="O42" s="53">
        <v>9</v>
      </c>
      <c r="P42" s="53">
        <v>7</v>
      </c>
      <c r="Q42" s="53">
        <v>4</v>
      </c>
      <c r="R42" s="53">
        <v>3</v>
      </c>
      <c r="S42" s="53">
        <v>0</v>
      </c>
      <c r="T42" s="53">
        <v>3</v>
      </c>
      <c r="U42" s="53">
        <v>4</v>
      </c>
      <c r="V42" s="53">
        <v>2</v>
      </c>
      <c r="W42" s="61">
        <f t="shared" si="15"/>
        <v>84</v>
      </c>
      <c r="X42" s="53">
        <v>16</v>
      </c>
      <c r="Y42" s="53">
        <v>9</v>
      </c>
      <c r="Z42" s="61">
        <f t="shared" si="16"/>
        <v>25</v>
      </c>
      <c r="AB42" s="52" t="s">
        <v>33</v>
      </c>
      <c r="AC42" s="65">
        <f t="shared" si="11"/>
        <v>0.80589970501474928</v>
      </c>
      <c r="AD42" s="65">
        <f t="shared" si="11"/>
        <v>9.6361848574237949E-2</v>
      </c>
      <c r="AE42" s="134">
        <f t="shared" si="12"/>
        <v>7.6302851524090456E-2</v>
      </c>
      <c r="AF42" s="134">
        <f t="shared" si="13"/>
        <v>1.6519174041297935E-2</v>
      </c>
      <c r="AG42" s="134">
        <f t="shared" si="14"/>
        <v>4.9164208456243851E-3</v>
      </c>
    </row>
    <row r="46" spans="1:33" x14ac:dyDescent="0.25">
      <c r="A46" s="72"/>
      <c r="B46" s="72"/>
      <c r="C46" s="73" t="s">
        <v>105</v>
      </c>
      <c r="D46" s="74"/>
      <c r="E46" s="74"/>
      <c r="F46" s="74"/>
      <c r="G46" s="74"/>
      <c r="H46" s="74"/>
      <c r="I46" s="74"/>
      <c r="J46" s="74" t="s">
        <v>106</v>
      </c>
    </row>
    <row r="47" spans="1:33" x14ac:dyDescent="0.25">
      <c r="A47" s="215" t="s">
        <v>4</v>
      </c>
      <c r="B47" s="75" t="s">
        <v>107</v>
      </c>
      <c r="C47" s="19">
        <v>0.27715951815524953</v>
      </c>
      <c r="D47" s="76"/>
      <c r="E47" s="76"/>
      <c r="F47" s="76"/>
      <c r="G47" s="76"/>
      <c r="H47" s="76"/>
      <c r="I47" s="76"/>
      <c r="J47" s="77">
        <v>0.83201803833145438</v>
      </c>
    </row>
    <row r="48" spans="1:33" x14ac:dyDescent="0.25">
      <c r="A48" s="215"/>
      <c r="B48" s="78" t="s">
        <v>108</v>
      </c>
      <c r="C48" s="19">
        <v>0.17924910309427589</v>
      </c>
      <c r="D48" s="77"/>
      <c r="E48" s="77"/>
      <c r="F48" s="77"/>
      <c r="G48" s="77"/>
      <c r="H48" s="77"/>
      <c r="I48" s="77"/>
      <c r="J48" s="77">
        <v>9.0191657271702363E-2</v>
      </c>
    </row>
    <row r="49" spans="1:10" x14ac:dyDescent="0.25">
      <c r="A49" s="215"/>
      <c r="B49" s="75" t="s">
        <v>93</v>
      </c>
      <c r="C49" s="19">
        <v>0.38632151934721187</v>
      </c>
      <c r="D49" s="77"/>
      <c r="E49" s="77"/>
      <c r="F49" s="77"/>
      <c r="G49" s="77"/>
      <c r="H49" s="77"/>
      <c r="I49" s="77"/>
      <c r="J49" s="77">
        <v>6.8771138669673049E-2</v>
      </c>
    </row>
    <row r="50" spans="1:10" x14ac:dyDescent="0.25">
      <c r="A50" s="215"/>
      <c r="B50" s="75" t="s">
        <v>109</v>
      </c>
      <c r="C50" s="77">
        <v>0.15726985940326269</v>
      </c>
      <c r="D50" s="77"/>
      <c r="E50" s="77"/>
      <c r="F50" s="77"/>
      <c r="G50" s="77"/>
      <c r="H50" s="77"/>
      <c r="I50" s="77"/>
      <c r="J50" s="77">
        <v>9.0191657271702363E-3</v>
      </c>
    </row>
    <row r="51" spans="1:10" x14ac:dyDescent="0.25">
      <c r="A51" s="215"/>
      <c r="B51" s="75" t="s">
        <v>95</v>
      </c>
      <c r="C51" s="77">
        <v>0</v>
      </c>
      <c r="D51" s="77"/>
      <c r="E51" s="77"/>
      <c r="F51" s="77"/>
      <c r="G51" s="77"/>
      <c r="H51" s="77"/>
      <c r="I51" s="77"/>
      <c r="J51" s="77">
        <v>0</v>
      </c>
    </row>
    <row r="52" spans="1:10" x14ac:dyDescent="0.25">
      <c r="A52" s="215" t="s">
        <v>14</v>
      </c>
      <c r="B52" s="75" t="s">
        <v>107</v>
      </c>
      <c r="C52" s="29">
        <v>0.28850008551720657</v>
      </c>
      <c r="D52" s="29"/>
      <c r="E52" s="29"/>
      <c r="F52" s="29"/>
      <c r="G52" s="29"/>
      <c r="H52" s="29"/>
      <c r="I52" s="29"/>
      <c r="J52" s="77">
        <v>0.83393665158371044</v>
      </c>
    </row>
    <row r="53" spans="1:10" x14ac:dyDescent="0.25">
      <c r="A53" s="215"/>
      <c r="B53" s="78" t="s">
        <v>108</v>
      </c>
      <c r="C53" s="29">
        <v>0.16550016100166939</v>
      </c>
      <c r="D53" s="29"/>
      <c r="E53" s="29"/>
      <c r="F53" s="29"/>
      <c r="G53" s="29"/>
      <c r="H53" s="29"/>
      <c r="I53" s="29"/>
      <c r="J53" s="77">
        <v>9.4117647058823528E-2</v>
      </c>
    </row>
    <row r="54" spans="1:10" x14ac:dyDescent="0.25">
      <c r="A54" s="215"/>
      <c r="B54" s="75" t="s">
        <v>93</v>
      </c>
      <c r="C54" s="29">
        <v>0.28102750596470599</v>
      </c>
      <c r="D54" s="29"/>
      <c r="E54" s="29"/>
      <c r="F54" s="29"/>
      <c r="G54" s="29"/>
      <c r="H54" s="29"/>
      <c r="I54" s="29"/>
      <c r="J54" s="77">
        <v>5.8371040723981901E-2</v>
      </c>
    </row>
    <row r="55" spans="1:10" x14ac:dyDescent="0.25">
      <c r="A55" s="215"/>
      <c r="B55" s="75" t="s">
        <v>109</v>
      </c>
      <c r="C55" s="29">
        <v>0.14710985282440889</v>
      </c>
      <c r="D55" s="29"/>
      <c r="E55" s="29"/>
      <c r="F55" s="29"/>
      <c r="G55" s="29"/>
      <c r="H55" s="29"/>
      <c r="I55" s="29"/>
      <c r="J55" s="77">
        <v>9.9547511312217188E-3</v>
      </c>
    </row>
    <row r="56" spans="1:10" x14ac:dyDescent="0.25">
      <c r="A56" s="215"/>
      <c r="B56" s="75" t="s">
        <v>95</v>
      </c>
      <c r="C56" s="29">
        <v>0.11786239469200915</v>
      </c>
      <c r="D56" s="29"/>
      <c r="E56" s="29"/>
      <c r="F56" s="29"/>
      <c r="G56" s="29"/>
      <c r="H56" s="29"/>
      <c r="I56" s="29"/>
      <c r="J56" s="77">
        <v>3.6199095022624436E-3</v>
      </c>
    </row>
    <row r="57" spans="1:10" x14ac:dyDescent="0.25">
      <c r="A57" s="215" t="s">
        <v>32</v>
      </c>
      <c r="B57" s="75" t="s">
        <v>107</v>
      </c>
      <c r="C57" s="29">
        <v>0.18615749864248798</v>
      </c>
      <c r="D57" s="29"/>
      <c r="E57" s="29"/>
      <c r="F57" s="29"/>
      <c r="G57" s="29"/>
      <c r="H57" s="29"/>
      <c r="I57" s="29"/>
      <c r="J57" s="77">
        <v>0.74685620557681798</v>
      </c>
    </row>
    <row r="58" spans="1:10" x14ac:dyDescent="0.25">
      <c r="A58" s="215"/>
      <c r="B58" s="78" t="s">
        <v>108</v>
      </c>
      <c r="C58" s="29">
        <v>0.10689467407668048</v>
      </c>
      <c r="D58" s="29"/>
      <c r="E58" s="29"/>
      <c r="F58" s="29"/>
      <c r="G58" s="29"/>
      <c r="H58" s="29"/>
      <c r="I58" s="29"/>
      <c r="J58" s="77">
        <v>0.10934937124111536</v>
      </c>
    </row>
    <row r="59" spans="1:10" x14ac:dyDescent="0.25">
      <c r="A59" s="215"/>
      <c r="B59" s="75" t="s">
        <v>93</v>
      </c>
      <c r="C59" s="29">
        <v>0.26808290033938131</v>
      </c>
      <c r="D59" s="29"/>
      <c r="E59" s="29"/>
      <c r="F59" s="29"/>
      <c r="G59" s="29"/>
      <c r="H59" s="29"/>
      <c r="I59" s="29"/>
      <c r="J59" s="77">
        <v>0.10497539639147074</v>
      </c>
    </row>
    <row r="60" spans="1:10" x14ac:dyDescent="0.25">
      <c r="A60" s="215"/>
      <c r="B60" s="75" t="s">
        <v>109</v>
      </c>
      <c r="C60" s="29">
        <v>0.23932936188796736</v>
      </c>
      <c r="D60" s="29"/>
      <c r="E60" s="29"/>
      <c r="F60" s="29"/>
      <c r="G60" s="29"/>
      <c r="H60" s="29"/>
      <c r="I60" s="29"/>
      <c r="J60" s="77">
        <v>2.9524330235101148E-2</v>
      </c>
    </row>
    <row r="61" spans="1:10" x14ac:dyDescent="0.25">
      <c r="A61" s="215"/>
      <c r="B61" s="75" t="s">
        <v>95</v>
      </c>
      <c r="C61" s="29">
        <v>0.19953556505348277</v>
      </c>
      <c r="D61" s="29"/>
      <c r="E61" s="29"/>
      <c r="F61" s="29"/>
      <c r="G61" s="29"/>
      <c r="H61" s="29"/>
      <c r="I61" s="29"/>
      <c r="J61" s="77">
        <v>9.2946965554948063E-3</v>
      </c>
    </row>
  </sheetData>
  <mergeCells count="6">
    <mergeCell ref="AB3:AC3"/>
    <mergeCell ref="A57:A61"/>
    <mergeCell ref="A52:A56"/>
    <mergeCell ref="A47:A51"/>
    <mergeCell ref="A3:B3"/>
    <mergeCell ref="C3:D3"/>
  </mergeCells>
  <hyperlinks>
    <hyperlink ref="C1" r:id="rId1" location="INDICE!A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55" zoomScaleNormal="100" workbookViewId="0">
      <selection activeCell="E48" sqref="E48"/>
    </sheetView>
  </sheetViews>
  <sheetFormatPr baseColWidth="10" defaultRowHeight="15" x14ac:dyDescent="0.25"/>
  <cols>
    <col min="1" max="1" width="25.28515625" customWidth="1"/>
    <col min="2" max="2" width="18.7109375" customWidth="1"/>
    <col min="3" max="3" width="14.42578125" customWidth="1"/>
    <col min="4" max="4" width="14.140625" customWidth="1"/>
    <col min="5" max="5" width="12.85546875" customWidth="1"/>
    <col min="6" max="6" width="16.5703125" customWidth="1"/>
    <col min="7" max="7" width="17.5703125" customWidth="1"/>
    <col min="8" max="8" width="13.5703125" customWidth="1"/>
    <col min="9" max="9" width="15.140625" customWidth="1"/>
  </cols>
  <sheetData>
    <row r="1" spans="1:9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9" x14ac:dyDescent="0.25">
      <c r="F2" t="s">
        <v>195</v>
      </c>
    </row>
    <row r="3" spans="1:9" x14ac:dyDescent="0.25">
      <c r="F3" t="s">
        <v>157</v>
      </c>
    </row>
    <row r="4" spans="1:9" x14ac:dyDescent="0.25">
      <c r="F4" t="s">
        <v>192</v>
      </c>
    </row>
    <row r="5" spans="1:9" ht="18.75" x14ac:dyDescent="0.3">
      <c r="A5" s="48" t="s">
        <v>3</v>
      </c>
      <c r="D5" s="123"/>
      <c r="E5" s="123"/>
      <c r="F5" s="123"/>
    </row>
    <row r="6" spans="1:9" ht="33.75" customHeight="1" x14ac:dyDescent="0.25">
      <c r="A6" s="201" t="s">
        <v>0</v>
      </c>
      <c r="B6" s="201" t="s">
        <v>197</v>
      </c>
      <c r="C6" s="201"/>
      <c r="D6" s="200" t="s">
        <v>155</v>
      </c>
      <c r="E6" s="200"/>
      <c r="F6" s="200" t="s">
        <v>198</v>
      </c>
      <c r="G6" s="200"/>
      <c r="H6" s="201" t="s">
        <v>199</v>
      </c>
      <c r="I6" s="201"/>
    </row>
    <row r="7" spans="1:9" x14ac:dyDescent="0.25">
      <c r="A7" s="201"/>
      <c r="B7" s="1">
        <v>2019</v>
      </c>
      <c r="C7" s="2">
        <v>2020</v>
      </c>
      <c r="D7" s="1">
        <v>2019</v>
      </c>
      <c r="E7" s="1">
        <v>2020</v>
      </c>
      <c r="F7" s="2">
        <v>2019</v>
      </c>
      <c r="G7" s="2">
        <v>2020</v>
      </c>
      <c r="H7" s="1" t="s">
        <v>1</v>
      </c>
      <c r="I7" s="3" t="s">
        <v>2</v>
      </c>
    </row>
    <row r="8" spans="1:9" x14ac:dyDescent="0.25">
      <c r="A8" s="8" t="s">
        <v>4</v>
      </c>
      <c r="B8" s="9">
        <v>49993.889999999992</v>
      </c>
      <c r="C8" s="9">
        <v>50354.649999999994</v>
      </c>
      <c r="D8" s="9">
        <f>57509+328</f>
        <v>57837</v>
      </c>
      <c r="E8" s="9">
        <f>58481+326</f>
        <v>58807</v>
      </c>
      <c r="F8" s="23">
        <f t="shared" ref="F8:F48" si="0">IFERROR(B8/D8,"")</f>
        <v>0.86439286270034743</v>
      </c>
      <c r="G8" s="103">
        <f>IFERROR(C8/E8,"")</f>
        <v>0.85626966177495867</v>
      </c>
      <c r="H8" s="9">
        <f>C8-B8</f>
        <v>360.76000000000204</v>
      </c>
      <c r="I8" s="103">
        <f>IFERROR((C8/B8)-1,"")</f>
        <v>7.2160818051967279E-3</v>
      </c>
    </row>
    <row r="9" spans="1:9" x14ac:dyDescent="0.25">
      <c r="A9" s="6" t="s">
        <v>5</v>
      </c>
      <c r="B9" s="10">
        <v>2140.599999999999</v>
      </c>
      <c r="C9" s="10">
        <v>2030.1399999999999</v>
      </c>
      <c r="D9" s="10">
        <v>4761</v>
      </c>
      <c r="E9" s="10">
        <v>4777</v>
      </c>
      <c r="F9" s="19">
        <f t="shared" si="0"/>
        <v>0.44961142617097227</v>
      </c>
      <c r="G9" s="113">
        <f t="shared" ref="G9:G48" si="1">IFERROR(C9/E9,"")</f>
        <v>0.4249822064056939</v>
      </c>
      <c r="H9" s="10">
        <f t="shared" ref="H9:H48" si="2">C9-B9</f>
        <v>-110.45999999999913</v>
      </c>
      <c r="I9" s="113">
        <f t="shared" ref="I9:I47" si="3">IFERROR((C9/B9)-1,"")</f>
        <v>-5.1602354480051904E-2</v>
      </c>
    </row>
    <row r="10" spans="1:9" x14ac:dyDescent="0.25">
      <c r="A10" s="6" t="s">
        <v>6</v>
      </c>
      <c r="B10" s="10">
        <v>1170.9200000000003</v>
      </c>
      <c r="C10" s="10">
        <v>1098.03</v>
      </c>
      <c r="D10" s="10">
        <f>2182+1</f>
        <v>2183</v>
      </c>
      <c r="E10" s="10">
        <v>2183</v>
      </c>
      <c r="F10" s="19">
        <f t="shared" si="0"/>
        <v>0.5363811268896016</v>
      </c>
      <c r="G10" s="113">
        <f t="shared" si="1"/>
        <v>0.50299129638112683</v>
      </c>
      <c r="H10" s="10">
        <f t="shared" si="2"/>
        <v>-72.890000000000327</v>
      </c>
      <c r="I10" s="113">
        <f t="shared" si="3"/>
        <v>-6.2250196426741677E-2</v>
      </c>
    </row>
    <row r="11" spans="1:9" x14ac:dyDescent="0.25">
      <c r="A11" s="6" t="s">
        <v>7</v>
      </c>
      <c r="B11" s="10">
        <v>11658.630000000006</v>
      </c>
      <c r="C11" s="10">
        <v>11773.019999999997</v>
      </c>
      <c r="D11" s="10">
        <v>11664</v>
      </c>
      <c r="E11" s="10">
        <f>11702+4</f>
        <v>11706</v>
      </c>
      <c r="F11" s="19">
        <f t="shared" si="0"/>
        <v>0.99953960905349848</v>
      </c>
      <c r="G11" s="113">
        <f t="shared" si="1"/>
        <v>1.0057252690927727</v>
      </c>
      <c r="H11" s="10">
        <f t="shared" si="2"/>
        <v>114.38999999999032</v>
      </c>
      <c r="I11" s="113">
        <f t="shared" si="3"/>
        <v>9.8116159445826856E-3</v>
      </c>
    </row>
    <row r="12" spans="1:9" x14ac:dyDescent="0.25">
      <c r="A12" s="6" t="s">
        <v>8</v>
      </c>
      <c r="B12" s="10">
        <v>236.3100000000002</v>
      </c>
      <c r="C12" s="10">
        <v>216.64999999999995</v>
      </c>
      <c r="D12" s="10">
        <v>684</v>
      </c>
      <c r="E12" s="10">
        <f>705+2</f>
        <v>707</v>
      </c>
      <c r="F12" s="19">
        <f t="shared" si="0"/>
        <v>0.34548245614035117</v>
      </c>
      <c r="G12" s="113">
        <f t="shared" si="1"/>
        <v>0.30643564356435637</v>
      </c>
      <c r="H12" s="10">
        <f t="shared" si="2"/>
        <v>-19.660000000000252</v>
      </c>
      <c r="I12" s="113">
        <f t="shared" si="3"/>
        <v>-8.3195802124329199E-2</v>
      </c>
    </row>
    <row r="13" spans="1:9" x14ac:dyDescent="0.25">
      <c r="A13" s="6" t="s">
        <v>9</v>
      </c>
      <c r="B13" s="10">
        <v>7883.6300000000028</v>
      </c>
      <c r="C13" s="10">
        <v>7838.2899999999991</v>
      </c>
      <c r="D13" s="10">
        <v>8687</v>
      </c>
      <c r="E13" s="10">
        <v>8520</v>
      </c>
      <c r="F13" s="19">
        <f t="shared" si="0"/>
        <v>0.90752043283066686</v>
      </c>
      <c r="G13" s="113">
        <f t="shared" si="1"/>
        <v>0.91998708920187777</v>
      </c>
      <c r="H13" s="10">
        <f t="shared" si="2"/>
        <v>-45.340000000003783</v>
      </c>
      <c r="I13" s="113">
        <f t="shared" si="3"/>
        <v>-5.7511577788409429E-3</v>
      </c>
    </row>
    <row r="14" spans="1:9" x14ac:dyDescent="0.25">
      <c r="A14" s="6" t="s">
        <v>10</v>
      </c>
      <c r="B14" s="10">
        <v>0.56000000000000005</v>
      </c>
      <c r="C14" s="10">
        <v>0.66</v>
      </c>
      <c r="D14" s="10"/>
      <c r="E14" s="10"/>
      <c r="F14" s="19" t="str">
        <f t="shared" si="0"/>
        <v/>
      </c>
      <c r="G14" s="113" t="str">
        <f t="shared" si="1"/>
        <v/>
      </c>
      <c r="H14" s="10">
        <f t="shared" si="2"/>
        <v>9.9999999999999978E-2</v>
      </c>
      <c r="I14" s="113">
        <f t="shared" si="3"/>
        <v>0.1785714285714286</v>
      </c>
    </row>
    <row r="15" spans="1:9" x14ac:dyDescent="0.25">
      <c r="A15" s="6" t="s">
        <v>11</v>
      </c>
      <c r="B15" s="10">
        <v>1441.6200000000003</v>
      </c>
      <c r="C15" s="10">
        <v>1467.1200000000001</v>
      </c>
      <c r="D15" s="10">
        <f>141+4347</f>
        <v>4488</v>
      </c>
      <c r="E15" s="10">
        <f>4349+141</f>
        <v>4490</v>
      </c>
      <c r="F15" s="19">
        <f t="shared" si="0"/>
        <v>0.32121657754010702</v>
      </c>
      <c r="G15" s="113">
        <f t="shared" si="1"/>
        <v>0.3267527839643653</v>
      </c>
      <c r="H15" s="10">
        <f t="shared" si="2"/>
        <v>25.499999999999773</v>
      </c>
      <c r="I15" s="113">
        <f t="shared" si="3"/>
        <v>1.7688433845257201E-2</v>
      </c>
    </row>
    <row r="16" spans="1:9" x14ac:dyDescent="0.25">
      <c r="A16" s="6" t="s">
        <v>12</v>
      </c>
      <c r="B16" s="10">
        <v>25461.619999999984</v>
      </c>
      <c r="C16" s="10">
        <v>25930.739999999994</v>
      </c>
      <c r="D16" s="10">
        <f>180+25190</f>
        <v>25370</v>
      </c>
      <c r="E16" s="10">
        <f>26246+178</f>
        <v>26424</v>
      </c>
      <c r="F16" s="19">
        <f t="shared" si="0"/>
        <v>1.0036113519905394</v>
      </c>
      <c r="G16" s="113">
        <f t="shared" si="1"/>
        <v>0.98133287920072643</v>
      </c>
      <c r="H16" s="10">
        <f t="shared" si="2"/>
        <v>469.1200000000099</v>
      </c>
      <c r="I16" s="113">
        <f t="shared" si="3"/>
        <v>1.8424593564746017E-2</v>
      </c>
    </row>
    <row r="17" spans="1:9" x14ac:dyDescent="0.25">
      <c r="A17" s="8" t="s">
        <v>13</v>
      </c>
      <c r="B17" s="11"/>
      <c r="C17" s="9">
        <v>0.18</v>
      </c>
      <c r="D17" s="11"/>
      <c r="E17" s="11"/>
      <c r="F17" s="24" t="str">
        <f t="shared" si="0"/>
        <v/>
      </c>
      <c r="G17" s="143" t="str">
        <f t="shared" si="1"/>
        <v/>
      </c>
      <c r="H17" s="11">
        <f t="shared" si="2"/>
        <v>0.18</v>
      </c>
      <c r="I17" s="143" t="str">
        <f t="shared" si="3"/>
        <v/>
      </c>
    </row>
    <row r="18" spans="1:9" x14ac:dyDescent="0.25">
      <c r="A18" s="6" t="s">
        <v>13</v>
      </c>
      <c r="B18" s="10"/>
      <c r="C18" s="10">
        <v>0.18</v>
      </c>
      <c r="D18" s="10"/>
      <c r="E18" s="10"/>
      <c r="F18" s="19" t="str">
        <f t="shared" si="0"/>
        <v/>
      </c>
      <c r="G18" s="113" t="str">
        <f t="shared" si="1"/>
        <v/>
      </c>
      <c r="H18" s="10">
        <f t="shared" si="2"/>
        <v>0.18</v>
      </c>
      <c r="I18" s="113" t="str">
        <f t="shared" si="3"/>
        <v/>
      </c>
    </row>
    <row r="19" spans="1:9" x14ac:dyDescent="0.25">
      <c r="A19" s="8" t="s">
        <v>14</v>
      </c>
      <c r="B19" s="9">
        <v>48394.59</v>
      </c>
      <c r="C19" s="9">
        <f>SUM(C20:C22)</f>
        <v>48576.2</v>
      </c>
      <c r="D19" s="9">
        <v>70349</v>
      </c>
      <c r="E19" s="9">
        <f>70509+5</f>
        <v>70514</v>
      </c>
      <c r="F19" s="23">
        <f t="shared" si="0"/>
        <v>0.68792150563618526</v>
      </c>
      <c r="G19" s="103">
        <f t="shared" si="1"/>
        <v>0.68888731315767082</v>
      </c>
      <c r="H19" s="9">
        <f t="shared" si="2"/>
        <v>181.61000000000058</v>
      </c>
      <c r="I19" s="103">
        <f t="shared" si="3"/>
        <v>3.7526921914206035E-3</v>
      </c>
    </row>
    <row r="20" spans="1:9" x14ac:dyDescent="0.25">
      <c r="A20" s="6" t="s">
        <v>15</v>
      </c>
      <c r="B20" s="10">
        <v>7629.6699999999983</v>
      </c>
      <c r="C20" s="10">
        <v>7450.15</v>
      </c>
      <c r="D20" s="10">
        <v>11182</v>
      </c>
      <c r="E20" s="10">
        <v>10223</v>
      </c>
      <c r="F20" s="19">
        <f t="shared" si="0"/>
        <v>0.68231711679484874</v>
      </c>
      <c r="G20" s="113">
        <f t="shared" si="1"/>
        <v>0.72876357233688738</v>
      </c>
      <c r="H20" s="10">
        <f t="shared" si="2"/>
        <v>-179.51999999999862</v>
      </c>
      <c r="I20" s="113">
        <f t="shared" si="3"/>
        <v>-2.3529195889205989E-2</v>
      </c>
    </row>
    <row r="21" spans="1:9" x14ac:dyDescent="0.25">
      <c r="A21" s="6" t="s">
        <v>16</v>
      </c>
      <c r="B21" s="10">
        <v>4701.3499999999976</v>
      </c>
      <c r="C21" s="10">
        <v>4662.6799999999976</v>
      </c>
      <c r="D21" s="10">
        <v>6388</v>
      </c>
      <c r="E21" s="10">
        <v>6486</v>
      </c>
      <c r="F21" s="19">
        <f t="shared" si="0"/>
        <v>0.73596587351283616</v>
      </c>
      <c r="G21" s="113">
        <f t="shared" si="1"/>
        <v>0.71888374961455404</v>
      </c>
      <c r="H21" s="10">
        <f t="shared" si="2"/>
        <v>-38.670000000000073</v>
      </c>
      <c r="I21" s="113">
        <f t="shared" si="3"/>
        <v>-8.2252969891627448E-3</v>
      </c>
    </row>
    <row r="22" spans="1:9" x14ac:dyDescent="0.25">
      <c r="A22" s="6" t="s">
        <v>17</v>
      </c>
      <c r="B22" s="10">
        <v>36063.570000000007</v>
      </c>
      <c r="C22" s="10">
        <v>36463.369999999995</v>
      </c>
      <c r="D22" s="10">
        <f>52774+5</f>
        <v>52779</v>
      </c>
      <c r="E22" s="10">
        <f>5+53800</f>
        <v>53805</v>
      </c>
      <c r="F22" s="19">
        <f t="shared" si="0"/>
        <v>0.68329392371966136</v>
      </c>
      <c r="G22" s="113">
        <f t="shared" si="1"/>
        <v>0.67769482390112434</v>
      </c>
      <c r="H22" s="10">
        <f t="shared" si="2"/>
        <v>399.79999999998836</v>
      </c>
      <c r="I22" s="113">
        <f t="shared" si="3"/>
        <v>1.1085979563309589E-2</v>
      </c>
    </row>
    <row r="23" spans="1:9" x14ac:dyDescent="0.25">
      <c r="A23" s="8" t="s">
        <v>18</v>
      </c>
      <c r="B23" s="11"/>
      <c r="C23" s="9">
        <v>0.08</v>
      </c>
      <c r="D23" s="9"/>
      <c r="E23" s="9"/>
      <c r="F23" s="23" t="str">
        <f t="shared" si="0"/>
        <v/>
      </c>
      <c r="G23" s="103" t="str">
        <f t="shared" si="1"/>
        <v/>
      </c>
      <c r="H23" s="9">
        <f t="shared" si="2"/>
        <v>0.08</v>
      </c>
      <c r="I23" s="103" t="str">
        <f t="shared" si="3"/>
        <v/>
      </c>
    </row>
    <row r="24" spans="1:9" x14ac:dyDescent="0.25">
      <c r="A24" s="6" t="s">
        <v>18</v>
      </c>
      <c r="B24" s="10"/>
      <c r="C24" s="10">
        <v>0.08</v>
      </c>
      <c r="D24" s="10"/>
      <c r="E24" s="10"/>
      <c r="F24" s="19" t="str">
        <f t="shared" si="0"/>
        <v/>
      </c>
      <c r="G24" s="113" t="str">
        <f t="shared" si="1"/>
        <v/>
      </c>
      <c r="H24" s="10">
        <f t="shared" si="2"/>
        <v>0.08</v>
      </c>
      <c r="I24" s="113" t="str">
        <f t="shared" si="3"/>
        <v/>
      </c>
    </row>
    <row r="25" spans="1:9" x14ac:dyDescent="0.25">
      <c r="A25" s="8" t="s">
        <v>36</v>
      </c>
      <c r="B25" s="9">
        <v>0.23</v>
      </c>
      <c r="C25" s="9"/>
      <c r="D25" s="9">
        <v>3</v>
      </c>
      <c r="E25" s="9">
        <v>3</v>
      </c>
      <c r="F25" s="23">
        <f t="shared" si="0"/>
        <v>7.6666666666666675E-2</v>
      </c>
      <c r="G25" s="103">
        <f t="shared" si="1"/>
        <v>0</v>
      </c>
      <c r="H25" s="159">
        <f t="shared" si="2"/>
        <v>-0.23</v>
      </c>
      <c r="I25" s="103">
        <f t="shared" si="3"/>
        <v>-1</v>
      </c>
    </row>
    <row r="26" spans="1:9" x14ac:dyDescent="0.25">
      <c r="A26" s="6" t="s">
        <v>37</v>
      </c>
      <c r="B26" s="10">
        <v>0.23</v>
      </c>
      <c r="C26" s="10"/>
      <c r="D26" s="10">
        <v>3</v>
      </c>
      <c r="E26" s="10">
        <v>3</v>
      </c>
      <c r="F26" s="19">
        <f t="shared" si="0"/>
        <v>7.6666666666666675E-2</v>
      </c>
      <c r="G26" s="113">
        <f t="shared" si="1"/>
        <v>0</v>
      </c>
      <c r="H26" s="160">
        <f t="shared" si="2"/>
        <v>-0.23</v>
      </c>
      <c r="I26" s="113">
        <f t="shared" si="3"/>
        <v>-1</v>
      </c>
    </row>
    <row r="27" spans="1:9" x14ac:dyDescent="0.25">
      <c r="A27" s="8" t="s">
        <v>19</v>
      </c>
      <c r="B27" s="9">
        <v>1918.9799999999998</v>
      </c>
      <c r="C27" s="9">
        <f>SUM(C28:C30)</f>
        <v>1918.6299999999981</v>
      </c>
      <c r="D27" s="9">
        <v>2188</v>
      </c>
      <c r="E27" s="9">
        <v>2180</v>
      </c>
      <c r="F27" s="23">
        <f t="shared" si="0"/>
        <v>0.87704753199268726</v>
      </c>
      <c r="G27" s="103">
        <f t="shared" si="1"/>
        <v>0.88010550458715509</v>
      </c>
      <c r="H27" s="159">
        <f t="shared" si="2"/>
        <v>-0.35000000000172804</v>
      </c>
      <c r="I27" s="158">
        <f t="shared" si="3"/>
        <v>-1.8238856059038522E-4</v>
      </c>
    </row>
    <row r="28" spans="1:9" x14ac:dyDescent="0.25">
      <c r="A28" s="6" t="s">
        <v>20</v>
      </c>
      <c r="B28" s="10">
        <v>1.53</v>
      </c>
      <c r="C28" s="10">
        <v>1.2300000000000002</v>
      </c>
      <c r="D28" s="10">
        <v>2</v>
      </c>
      <c r="E28" s="10">
        <v>2</v>
      </c>
      <c r="F28" s="19">
        <f t="shared" si="0"/>
        <v>0.76500000000000001</v>
      </c>
      <c r="G28" s="113">
        <f t="shared" si="1"/>
        <v>0.6150000000000001</v>
      </c>
      <c r="H28" s="160">
        <f t="shared" si="2"/>
        <v>-0.29999999999999982</v>
      </c>
      <c r="I28" s="113">
        <f t="shared" si="3"/>
        <v>-0.19607843137254888</v>
      </c>
    </row>
    <row r="29" spans="1:9" x14ac:dyDescent="0.25">
      <c r="A29" s="6" t="s">
        <v>21</v>
      </c>
      <c r="B29" s="10">
        <v>0.16</v>
      </c>
      <c r="C29" s="10">
        <v>0.15000000000000002</v>
      </c>
      <c r="D29" s="10"/>
      <c r="E29" s="10"/>
      <c r="F29" s="19" t="str">
        <f t="shared" si="0"/>
        <v/>
      </c>
      <c r="G29" s="113">
        <f>IFERROR(C29/E30,"")</f>
        <v>6.8870523415977969E-5</v>
      </c>
      <c r="H29" s="160">
        <f t="shared" si="2"/>
        <v>-9.9999999999999811E-3</v>
      </c>
      <c r="I29" s="113">
        <f t="shared" si="3"/>
        <v>-6.2499999999999889E-2</v>
      </c>
    </row>
    <row r="30" spans="1:9" x14ac:dyDescent="0.25">
      <c r="A30" s="6" t="s">
        <v>22</v>
      </c>
      <c r="B30" s="10">
        <v>1917.2899999999997</v>
      </c>
      <c r="C30" s="10">
        <v>1917.249999999998</v>
      </c>
      <c r="D30" s="10">
        <v>2186</v>
      </c>
      <c r="E30" s="10">
        <v>2178</v>
      </c>
      <c r="F30" s="19">
        <f t="shared" si="0"/>
        <v>0.87707685269899349</v>
      </c>
      <c r="G30" s="113" t="str">
        <f>IFERROR(C30/#REF!,"")</f>
        <v/>
      </c>
      <c r="H30" s="160">
        <f t="shared" si="2"/>
        <v>-4.000000000178261E-2</v>
      </c>
      <c r="I30" s="113">
        <f t="shared" si="3"/>
        <v>-2.0862780279351512E-5</v>
      </c>
    </row>
    <row r="31" spans="1:9" x14ac:dyDescent="0.25">
      <c r="A31" s="8" t="s">
        <v>23</v>
      </c>
      <c r="B31" s="9">
        <v>51.350000000000016</v>
      </c>
      <c r="C31" s="9">
        <v>71.69</v>
      </c>
      <c r="D31" s="9">
        <v>51</v>
      </c>
      <c r="E31" s="9">
        <v>62</v>
      </c>
      <c r="F31" s="23">
        <f t="shared" si="0"/>
        <v>1.0068627450980394</v>
      </c>
      <c r="G31" s="103">
        <f t="shared" si="1"/>
        <v>1.1562903225806451</v>
      </c>
      <c r="H31" s="9">
        <f t="shared" si="2"/>
        <v>20.339999999999982</v>
      </c>
      <c r="I31" s="103">
        <f t="shared" si="3"/>
        <v>0.3961051606621222</v>
      </c>
    </row>
    <row r="32" spans="1:9" x14ac:dyDescent="0.25">
      <c r="A32" s="6" t="s">
        <v>24</v>
      </c>
      <c r="B32" s="10">
        <v>46.070000000000014</v>
      </c>
      <c r="C32" s="10">
        <v>66.149999999999991</v>
      </c>
      <c r="D32" s="10">
        <v>45</v>
      </c>
      <c r="E32" s="10">
        <v>56</v>
      </c>
      <c r="F32" s="19">
        <f t="shared" si="0"/>
        <v>1.0237777777777781</v>
      </c>
      <c r="G32" s="113">
        <f t="shared" si="1"/>
        <v>1.1812499999999999</v>
      </c>
      <c r="H32" s="10">
        <f t="shared" si="2"/>
        <v>20.079999999999977</v>
      </c>
      <c r="I32" s="113">
        <f t="shared" si="3"/>
        <v>0.4358584762318205</v>
      </c>
    </row>
    <row r="33" spans="1:9" x14ac:dyDescent="0.25">
      <c r="A33" s="6" t="s">
        <v>25</v>
      </c>
      <c r="B33" s="10">
        <v>5.2799999999999994</v>
      </c>
      <c r="C33" s="10">
        <v>5.5399999999999991</v>
      </c>
      <c r="D33" s="10">
        <v>6</v>
      </c>
      <c r="E33" s="10">
        <v>6</v>
      </c>
      <c r="F33" s="19">
        <f t="shared" si="0"/>
        <v>0.87999999999999989</v>
      </c>
      <c r="G33" s="113">
        <f t="shared" si="1"/>
        <v>0.92333333333333323</v>
      </c>
      <c r="H33" s="10">
        <f t="shared" si="2"/>
        <v>0.25999999999999979</v>
      </c>
      <c r="I33" s="113">
        <f t="shared" si="3"/>
        <v>4.924242424242431E-2</v>
      </c>
    </row>
    <row r="34" spans="1:9" x14ac:dyDescent="0.25">
      <c r="A34" s="8" t="s">
        <v>26</v>
      </c>
      <c r="B34" s="9"/>
      <c r="C34" s="9">
        <v>0.06</v>
      </c>
      <c r="D34" s="9">
        <v>86</v>
      </c>
      <c r="E34" s="9">
        <v>84</v>
      </c>
      <c r="F34" s="23">
        <f t="shared" si="0"/>
        <v>0</v>
      </c>
      <c r="G34" s="103">
        <f t="shared" si="1"/>
        <v>7.1428571428571429E-4</v>
      </c>
      <c r="H34" s="9">
        <f t="shared" si="2"/>
        <v>0.06</v>
      </c>
      <c r="I34" s="103" t="str">
        <f t="shared" si="3"/>
        <v/>
      </c>
    </row>
    <row r="35" spans="1:9" x14ac:dyDescent="0.25">
      <c r="A35" s="6" t="s">
        <v>27</v>
      </c>
      <c r="B35" s="10"/>
      <c r="C35" s="10">
        <v>0.06</v>
      </c>
      <c r="D35" s="10">
        <v>54</v>
      </c>
      <c r="E35" s="10">
        <v>54</v>
      </c>
      <c r="F35" s="19">
        <f t="shared" si="0"/>
        <v>0</v>
      </c>
      <c r="G35" s="113">
        <f t="shared" si="1"/>
        <v>1.1111111111111111E-3</v>
      </c>
      <c r="H35" s="10">
        <f t="shared" si="2"/>
        <v>0.06</v>
      </c>
      <c r="I35" s="113" t="str">
        <f t="shared" si="3"/>
        <v/>
      </c>
    </row>
    <row r="36" spans="1:9" x14ac:dyDescent="0.25">
      <c r="A36" s="6" t="s">
        <v>46</v>
      </c>
      <c r="B36" s="10"/>
      <c r="C36" s="10"/>
      <c r="D36" s="10">
        <v>4</v>
      </c>
      <c r="E36" s="10">
        <v>4</v>
      </c>
      <c r="F36" s="19">
        <f t="shared" si="0"/>
        <v>0</v>
      </c>
      <c r="G36" s="113">
        <f t="shared" si="1"/>
        <v>0</v>
      </c>
      <c r="H36" s="10">
        <f t="shared" si="2"/>
        <v>0</v>
      </c>
      <c r="I36" s="113" t="str">
        <f t="shared" si="3"/>
        <v/>
      </c>
    </row>
    <row r="37" spans="1:9" x14ac:dyDescent="0.25">
      <c r="A37" s="6" t="s">
        <v>48</v>
      </c>
      <c r="B37" s="10"/>
      <c r="C37" s="10"/>
      <c r="D37" s="10">
        <v>1</v>
      </c>
      <c r="E37" s="10">
        <v>1</v>
      </c>
      <c r="F37" s="19">
        <f t="shared" si="0"/>
        <v>0</v>
      </c>
      <c r="G37" s="113">
        <f t="shared" si="1"/>
        <v>0</v>
      </c>
      <c r="H37" s="10">
        <f t="shared" si="2"/>
        <v>0</v>
      </c>
      <c r="I37" s="113" t="str">
        <f t="shared" si="3"/>
        <v/>
      </c>
    </row>
    <row r="38" spans="1:9" x14ac:dyDescent="0.25">
      <c r="A38" s="6" t="s">
        <v>49</v>
      </c>
      <c r="B38" s="10"/>
      <c r="C38" s="10"/>
      <c r="D38" s="10">
        <v>27</v>
      </c>
      <c r="E38" s="10">
        <v>25</v>
      </c>
      <c r="F38" s="19">
        <f t="shared" si="0"/>
        <v>0</v>
      </c>
      <c r="G38" s="113">
        <f t="shared" si="1"/>
        <v>0</v>
      </c>
      <c r="H38" s="10">
        <f t="shared" si="2"/>
        <v>0</v>
      </c>
      <c r="I38" s="113" t="str">
        <f t="shared" si="3"/>
        <v/>
      </c>
    </row>
    <row r="39" spans="1:9" x14ac:dyDescent="0.25">
      <c r="A39" s="8" t="s">
        <v>28</v>
      </c>
      <c r="B39" s="9">
        <v>726.90999999999985</v>
      </c>
      <c r="C39" s="9">
        <v>704.70999999999992</v>
      </c>
      <c r="D39" s="9">
        <v>1677</v>
      </c>
      <c r="E39" s="9">
        <v>1677</v>
      </c>
      <c r="F39" s="23">
        <f t="shared" si="0"/>
        <v>0.43345855694692897</v>
      </c>
      <c r="G39" s="103">
        <f t="shared" si="1"/>
        <v>0.42022063208109717</v>
      </c>
      <c r="H39" s="9">
        <f t="shared" si="2"/>
        <v>-22.199999999999932</v>
      </c>
      <c r="I39" s="103">
        <f t="shared" si="3"/>
        <v>-3.054023194068034E-2</v>
      </c>
    </row>
    <row r="40" spans="1:9" x14ac:dyDescent="0.25">
      <c r="A40" s="6" t="s">
        <v>28</v>
      </c>
      <c r="B40" s="10">
        <v>726.90999999999985</v>
      </c>
      <c r="C40" s="10">
        <v>704.70999999999992</v>
      </c>
      <c r="D40" s="10">
        <v>1677</v>
      </c>
      <c r="E40" s="10">
        <v>1677</v>
      </c>
      <c r="F40" s="19">
        <f t="shared" si="0"/>
        <v>0.43345855694692897</v>
      </c>
      <c r="G40" s="113">
        <f t="shared" si="1"/>
        <v>0.42022063208109717</v>
      </c>
      <c r="H40" s="10">
        <f t="shared" si="2"/>
        <v>-22.199999999999932</v>
      </c>
      <c r="I40" s="113">
        <f t="shared" si="3"/>
        <v>-3.054023194068034E-2</v>
      </c>
    </row>
    <row r="41" spans="1:9" x14ac:dyDescent="0.25">
      <c r="A41" s="8" t="s">
        <v>29</v>
      </c>
      <c r="B41" s="9"/>
      <c r="C41" s="9">
        <v>156.38</v>
      </c>
      <c r="D41" s="9">
        <v>952</v>
      </c>
      <c r="E41" s="9">
        <v>955</v>
      </c>
      <c r="F41" s="23">
        <f t="shared" si="0"/>
        <v>0</v>
      </c>
      <c r="G41" s="103">
        <f t="shared" si="1"/>
        <v>0.16374869109947643</v>
      </c>
      <c r="H41" s="9">
        <f t="shared" si="2"/>
        <v>156.38</v>
      </c>
      <c r="I41" s="103" t="str">
        <f t="shared" si="3"/>
        <v/>
      </c>
    </row>
    <row r="42" spans="1:9" x14ac:dyDescent="0.25">
      <c r="A42" s="6" t="s">
        <v>30</v>
      </c>
      <c r="B42" s="10"/>
      <c r="C42" s="10">
        <v>64.2</v>
      </c>
      <c r="D42" s="10">
        <v>519</v>
      </c>
      <c r="E42" s="10">
        <v>520</v>
      </c>
      <c r="F42" s="19">
        <f t="shared" si="0"/>
        <v>0</v>
      </c>
      <c r="G42" s="113">
        <f t="shared" si="1"/>
        <v>0.12346153846153847</v>
      </c>
      <c r="H42" s="10">
        <f t="shared" si="2"/>
        <v>64.2</v>
      </c>
      <c r="I42" s="113" t="str">
        <f t="shared" si="3"/>
        <v/>
      </c>
    </row>
    <row r="43" spans="1:9" x14ac:dyDescent="0.25">
      <c r="A43" s="6" t="s">
        <v>31</v>
      </c>
      <c r="B43" s="10"/>
      <c r="C43" s="10">
        <v>92.18</v>
      </c>
      <c r="D43" s="10">
        <v>433</v>
      </c>
      <c r="E43" s="10">
        <v>435</v>
      </c>
      <c r="F43" s="19">
        <f t="shared" si="0"/>
        <v>0</v>
      </c>
      <c r="G43" s="113">
        <f t="shared" si="1"/>
        <v>0.21190804597701152</v>
      </c>
      <c r="H43" s="10">
        <f t="shared" si="2"/>
        <v>92.18</v>
      </c>
      <c r="I43" s="113" t="str">
        <f t="shared" si="3"/>
        <v/>
      </c>
    </row>
    <row r="44" spans="1:9" x14ac:dyDescent="0.25">
      <c r="A44" s="8" t="s">
        <v>32</v>
      </c>
      <c r="B44" s="9">
        <v>5600.8600000000024</v>
      </c>
      <c r="C44" s="9">
        <v>5401.0300000000007</v>
      </c>
      <c r="D44" s="9">
        <v>7161</v>
      </c>
      <c r="E44" s="9">
        <f>10+6835</f>
        <v>6845</v>
      </c>
      <c r="F44" s="23">
        <f t="shared" si="0"/>
        <v>0.78213378019829671</v>
      </c>
      <c r="G44" s="103">
        <f t="shared" si="1"/>
        <v>0.78904747991234492</v>
      </c>
      <c r="H44" s="9">
        <f t="shared" si="2"/>
        <v>-199.83000000000175</v>
      </c>
      <c r="I44" s="103">
        <f t="shared" si="3"/>
        <v>-3.5678449380988186E-2</v>
      </c>
    </row>
    <row r="45" spans="1:9" x14ac:dyDescent="0.25">
      <c r="A45" s="6" t="s">
        <v>32</v>
      </c>
      <c r="B45" s="10">
        <v>5600.8600000000024</v>
      </c>
      <c r="C45" s="10">
        <v>5401.0300000000007</v>
      </c>
      <c r="D45" s="10">
        <v>7161</v>
      </c>
      <c r="E45" s="10">
        <f>10+6835</f>
        <v>6845</v>
      </c>
      <c r="F45" s="19">
        <f t="shared" si="0"/>
        <v>0.78213378019829671</v>
      </c>
      <c r="G45" s="113">
        <f t="shared" si="1"/>
        <v>0.78904747991234492</v>
      </c>
      <c r="H45" s="10">
        <f t="shared" si="2"/>
        <v>-199.83000000000175</v>
      </c>
      <c r="I45" s="113">
        <f t="shared" si="3"/>
        <v>-3.5678449380988186E-2</v>
      </c>
    </row>
    <row r="46" spans="1:9" x14ac:dyDescent="0.25">
      <c r="A46" s="8" t="s">
        <v>34</v>
      </c>
      <c r="B46" s="9">
        <v>0.03</v>
      </c>
      <c r="C46" s="9"/>
      <c r="D46" s="9">
        <v>0</v>
      </c>
      <c r="E46" s="9"/>
      <c r="F46" s="23" t="str">
        <f t="shared" si="0"/>
        <v/>
      </c>
      <c r="G46" s="103" t="str">
        <f t="shared" si="1"/>
        <v/>
      </c>
      <c r="H46" s="159">
        <f t="shared" si="2"/>
        <v>-0.03</v>
      </c>
      <c r="I46" s="103">
        <f t="shared" si="3"/>
        <v>-1</v>
      </c>
    </row>
    <row r="47" spans="1:9" x14ac:dyDescent="0.25">
      <c r="A47" s="6" t="s">
        <v>35</v>
      </c>
      <c r="B47" s="10">
        <v>0.03</v>
      </c>
      <c r="C47" s="10"/>
      <c r="D47" s="10">
        <v>0</v>
      </c>
      <c r="E47" s="10"/>
      <c r="F47" s="19" t="str">
        <f t="shared" si="0"/>
        <v/>
      </c>
      <c r="G47" s="113" t="str">
        <f t="shared" si="1"/>
        <v/>
      </c>
      <c r="H47" s="160">
        <f t="shared" si="2"/>
        <v>-0.03</v>
      </c>
      <c r="I47" s="113">
        <f t="shared" si="3"/>
        <v>-1</v>
      </c>
    </row>
    <row r="48" spans="1:9" x14ac:dyDescent="0.25">
      <c r="A48" s="7" t="s">
        <v>33</v>
      </c>
      <c r="B48" s="12">
        <v>106686.83999999998</v>
      </c>
      <c r="C48" s="12">
        <v>107183.61000000013</v>
      </c>
      <c r="D48" s="12">
        <f>343+139971</f>
        <v>140314</v>
      </c>
      <c r="E48" s="12">
        <f>140786+341</f>
        <v>141127</v>
      </c>
      <c r="F48" s="20">
        <f t="shared" si="0"/>
        <v>0.76034351525863408</v>
      </c>
      <c r="G48" s="144">
        <f t="shared" si="1"/>
        <v>0.75948337313200265</v>
      </c>
      <c r="H48" s="12">
        <f t="shared" si="2"/>
        <v>496.77000000014959</v>
      </c>
      <c r="I48" s="144">
        <f>IFERROR((C48/B48)-1,"")</f>
        <v>4.656338120054393E-3</v>
      </c>
    </row>
    <row r="49" spans="1:6" x14ac:dyDescent="0.25">
      <c r="C49" s="131"/>
    </row>
    <row r="52" spans="1:6" ht="35.25" customHeight="1" x14ac:dyDescent="0.25">
      <c r="A52" s="81"/>
      <c r="B52" s="139" t="s">
        <v>187</v>
      </c>
      <c r="C52" s="139" t="s">
        <v>200</v>
      </c>
      <c r="D52" s="139" t="s">
        <v>201</v>
      </c>
      <c r="E52" s="141" t="s">
        <v>202</v>
      </c>
      <c r="F52" s="141" t="s">
        <v>203</v>
      </c>
    </row>
    <row r="53" spans="1:6" x14ac:dyDescent="0.25">
      <c r="A53" s="140" t="s">
        <v>3</v>
      </c>
      <c r="B53" s="10">
        <f>E48</f>
        <v>141127</v>
      </c>
      <c r="C53" s="10">
        <v>106686.83999999998</v>
      </c>
      <c r="D53" s="10">
        <v>107183.61000000013</v>
      </c>
      <c r="E53" s="138">
        <f>IFERROR((D53/C53)-1,"")</f>
        <v>4.656338120054393E-3</v>
      </c>
      <c r="F53" s="138">
        <f>IFERROR(D53/B53,"")</f>
        <v>0.75948337313200265</v>
      </c>
    </row>
    <row r="54" spans="1:6" x14ac:dyDescent="0.25">
      <c r="A54" s="140" t="s">
        <v>186</v>
      </c>
      <c r="B54" s="10">
        <f>'PC-REPR'!E37</f>
        <v>106018</v>
      </c>
      <c r="C54" s="10">
        <v>79556.490000000093</v>
      </c>
      <c r="D54" s="10">
        <v>78989.869999999981</v>
      </c>
      <c r="E54" s="138">
        <f t="shared" ref="E54:E56" si="4">IFERROR((D54/C54)-1,"")</f>
        <v>-7.1222347793387097E-3</v>
      </c>
      <c r="F54" s="138">
        <f t="shared" ref="F54:F56" si="5">IFERROR(D54/B54,"")</f>
        <v>0.7450609330491047</v>
      </c>
    </row>
    <row r="55" spans="1:6" x14ac:dyDescent="0.25">
      <c r="A55" s="140" t="s">
        <v>41</v>
      </c>
      <c r="B55" s="10">
        <f>'LIM-REPR'!E49</f>
        <v>48196</v>
      </c>
      <c r="C55" s="10">
        <v>26295.989999999983</v>
      </c>
      <c r="D55" s="10">
        <v>27152.959999999999</v>
      </c>
      <c r="E55" s="138">
        <f t="shared" si="4"/>
        <v>3.2589379597422141E-2</v>
      </c>
      <c r="F55" s="138">
        <f t="shared" si="5"/>
        <v>0.56338617312640049</v>
      </c>
    </row>
    <row r="56" spans="1:6" x14ac:dyDescent="0.25">
      <c r="A56" s="140" t="s">
        <v>42</v>
      </c>
      <c r="B56" s="10">
        <f>'POM-REPR'!E31</f>
        <v>2628</v>
      </c>
      <c r="C56" s="10">
        <v>1889.5</v>
      </c>
      <c r="D56" s="10">
        <v>2073.42</v>
      </c>
      <c r="E56" s="138">
        <f t="shared" si="4"/>
        <v>9.7337920084678453E-2</v>
      </c>
      <c r="F56" s="138">
        <f t="shared" si="5"/>
        <v>0.78897260273972603</v>
      </c>
    </row>
  </sheetData>
  <mergeCells count="5">
    <mergeCell ref="H6:I6"/>
    <mergeCell ref="A6:A7"/>
    <mergeCell ref="B6:C6"/>
    <mergeCell ref="D6:E6"/>
    <mergeCell ref="F6:G6"/>
  </mergeCells>
  <conditionalFormatting sqref="E53:E56">
    <cfRule type="cellIs" dxfId="8" priority="2" operator="lessThan">
      <formula>0</formula>
    </cfRule>
  </conditionalFormatting>
  <conditionalFormatting sqref="H8:I48">
    <cfRule type="cellIs" dxfId="7" priority="1" operator="lessThan">
      <formula>0</formula>
    </cfRule>
  </conditionalFormatting>
  <hyperlinks>
    <hyperlink ref="D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opLeftCell="A22" workbookViewId="0">
      <selection activeCell="B1" sqref="B1:C1"/>
    </sheetView>
  </sheetViews>
  <sheetFormatPr baseColWidth="10" defaultRowHeight="15" x14ac:dyDescent="0.25"/>
  <cols>
    <col min="1" max="1" width="28.7109375" customWidth="1"/>
    <col min="3" max="3" width="10.140625" customWidth="1"/>
    <col min="4" max="7" width="6.7109375" hidden="1" customWidth="1"/>
    <col min="8" max="9" width="7.140625" hidden="1" customWidth="1"/>
    <col min="10" max="10" width="10" customWidth="1"/>
    <col min="11" max="11" width="7.140625" hidden="1" customWidth="1"/>
    <col min="12" max="13" width="6.7109375" hidden="1" customWidth="1"/>
    <col min="14" max="14" width="7.140625" hidden="1" customWidth="1"/>
    <col min="15" max="15" width="6.7109375" hidden="1" customWidth="1"/>
    <col min="16" max="19" width="7.140625" hidden="1" customWidth="1"/>
    <col min="20" max="20" width="6.7109375" hidden="1" customWidth="1"/>
    <col min="21" max="21" width="7.140625" hidden="1" customWidth="1"/>
    <col min="22" max="22" width="8.140625" hidden="1" customWidth="1"/>
    <col min="24" max="24" width="9.140625" hidden="1" customWidth="1"/>
    <col min="25" max="25" width="5.42578125" hidden="1" customWidth="1"/>
    <col min="28" max="28" width="27" customWidth="1"/>
  </cols>
  <sheetData>
    <row r="1" spans="1:33" x14ac:dyDescent="0.25">
      <c r="B1" s="30" t="s">
        <v>51</v>
      </c>
      <c r="C1" s="182" t="s">
        <v>52</v>
      </c>
      <c r="AB1" s="30" t="s">
        <v>159</v>
      </c>
      <c r="AC1" t="s">
        <v>185</v>
      </c>
    </row>
    <row r="2" spans="1:33" ht="18.75" x14ac:dyDescent="0.3">
      <c r="A2" s="54" t="s">
        <v>42</v>
      </c>
    </row>
    <row r="3" spans="1:33" x14ac:dyDescent="0.25">
      <c r="A3" s="216" t="s">
        <v>139</v>
      </c>
      <c r="B3" s="216"/>
      <c r="C3" s="216"/>
      <c r="D3" s="216"/>
      <c r="AB3" s="216" t="s">
        <v>139</v>
      </c>
      <c r="AC3" s="216"/>
      <c r="AD3" s="87"/>
      <c r="AE3" s="87"/>
    </row>
    <row r="4" spans="1:33" ht="15.75" x14ac:dyDescent="0.25">
      <c r="A4" s="56" t="s">
        <v>56</v>
      </c>
      <c r="B4" s="57" t="s">
        <v>61</v>
      </c>
      <c r="C4" s="57" t="s">
        <v>62</v>
      </c>
      <c r="D4" s="57" t="s">
        <v>63</v>
      </c>
      <c r="E4" s="57" t="s">
        <v>64</v>
      </c>
      <c r="F4" s="57" t="s">
        <v>65</v>
      </c>
      <c r="G4" s="57" t="s">
        <v>66</v>
      </c>
      <c r="H4" s="57" t="s">
        <v>67</v>
      </c>
      <c r="I4" s="57" t="s">
        <v>68</v>
      </c>
      <c r="J4" s="63" t="s">
        <v>93</v>
      </c>
      <c r="K4" s="57" t="s">
        <v>69</v>
      </c>
      <c r="L4" s="57" t="s">
        <v>70</v>
      </c>
      <c r="M4" s="57" t="s">
        <v>71</v>
      </c>
      <c r="N4" s="57" t="s">
        <v>72</v>
      </c>
      <c r="O4" s="57" t="s">
        <v>73</v>
      </c>
      <c r="P4" s="57" t="s">
        <v>74</v>
      </c>
      <c r="Q4" s="57" t="s">
        <v>75</v>
      </c>
      <c r="R4" s="57" t="s">
        <v>76</v>
      </c>
      <c r="S4" s="57" t="s">
        <v>77</v>
      </c>
      <c r="T4" s="57" t="s">
        <v>78</v>
      </c>
      <c r="U4" s="57" t="s">
        <v>79</v>
      </c>
      <c r="V4" s="57" t="s">
        <v>80</v>
      </c>
      <c r="W4" s="63" t="s">
        <v>94</v>
      </c>
      <c r="X4" s="57" t="s">
        <v>81</v>
      </c>
      <c r="Y4" s="57" t="s">
        <v>82</v>
      </c>
      <c r="Z4" s="63" t="s">
        <v>95</v>
      </c>
      <c r="AB4" s="56" t="s">
        <v>56</v>
      </c>
      <c r="AC4" s="57" t="s">
        <v>61</v>
      </c>
      <c r="AD4" s="57" t="s">
        <v>62</v>
      </c>
      <c r="AE4" s="63" t="s">
        <v>93</v>
      </c>
      <c r="AF4" s="63" t="s">
        <v>94</v>
      </c>
      <c r="AG4" s="63" t="s">
        <v>95</v>
      </c>
    </row>
    <row r="5" spans="1:33" x14ac:dyDescent="0.25">
      <c r="A5" s="43" t="s">
        <v>4</v>
      </c>
      <c r="B5" s="10">
        <v>191.6</v>
      </c>
      <c r="C5" s="10">
        <v>136.85</v>
      </c>
      <c r="D5" s="10">
        <v>118.52</v>
      </c>
      <c r="E5" s="10">
        <v>31.21</v>
      </c>
      <c r="F5" s="10">
        <v>0</v>
      </c>
      <c r="G5" s="10">
        <v>26.61</v>
      </c>
      <c r="H5" s="10">
        <v>0</v>
      </c>
      <c r="I5" s="10">
        <v>37.6</v>
      </c>
      <c r="J5" s="10">
        <f>SUM(D5:I5)</f>
        <v>213.93999999999997</v>
      </c>
      <c r="K5" s="10">
        <v>41.74</v>
      </c>
      <c r="L5" s="10">
        <v>0</v>
      </c>
      <c r="M5" s="10">
        <v>54.55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SUM(K5:V5)</f>
        <v>96.289999999999992</v>
      </c>
      <c r="X5" s="10">
        <v>0</v>
      </c>
      <c r="Y5" s="10">
        <v>0</v>
      </c>
      <c r="Z5" s="10">
        <f>SUM(X5:Y5)</f>
        <v>0</v>
      </c>
      <c r="AB5" s="43" t="s">
        <v>4</v>
      </c>
      <c r="AC5" s="19">
        <f t="shared" ref="AC5:AC21" si="0">IFERROR(B5/SUM($B5+$C5+$J5+$W5+$Z5),"")</f>
        <v>0.29999373708273314</v>
      </c>
      <c r="AD5" s="19">
        <f t="shared" ref="AD5:AD21" si="1">IFERROR(C5/SUM($B5+$C5+$J5+$W5+$Z5),"")</f>
        <v>0.21427005699254714</v>
      </c>
      <c r="AE5" s="19">
        <f t="shared" ref="AE5:AE21" si="2">IFERROR(J5/SUM($B5+$C5+$J5+$W5+$Z5),"")</f>
        <v>0.33497213001816245</v>
      </c>
      <c r="AF5" s="19">
        <f t="shared" ref="AF5:AF21" si="3">IFERROR(W5/SUM($B5+$C5+$J5+$W5+$Z5),"")</f>
        <v>0.15076407590655727</v>
      </c>
      <c r="AG5" s="19">
        <f t="shared" ref="AG5:AG21" si="4">IFERROR(Z5/SUM($B5+$C5+$J5+$W5+$Z5),"")</f>
        <v>0</v>
      </c>
    </row>
    <row r="6" spans="1:33" x14ac:dyDescent="0.25">
      <c r="A6" s="43" t="s">
        <v>43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f t="shared" ref="J6:J20" si="5">SUM(D6:I6)</f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f t="shared" ref="W6:W20" si="6">SUM(K6:V6)</f>
        <v>0</v>
      </c>
      <c r="X6" s="10">
        <v>0</v>
      </c>
      <c r="Y6" s="10">
        <v>0</v>
      </c>
      <c r="Z6" s="10">
        <f t="shared" ref="Z6:Z19" si="7">SUM(X6:Y6)</f>
        <v>0</v>
      </c>
      <c r="AB6" s="43" t="s">
        <v>43</v>
      </c>
      <c r="AC6" s="19" t="str">
        <f t="shared" si="0"/>
        <v/>
      </c>
      <c r="AD6" s="19" t="str">
        <f t="shared" si="1"/>
        <v/>
      </c>
      <c r="AE6" s="19" t="str">
        <f t="shared" si="2"/>
        <v/>
      </c>
      <c r="AF6" s="19" t="str">
        <f t="shared" si="3"/>
        <v/>
      </c>
      <c r="AG6" s="19" t="str">
        <f t="shared" si="4"/>
        <v/>
      </c>
    </row>
    <row r="7" spans="1:33" x14ac:dyDescent="0.25">
      <c r="A7" s="43" t="s">
        <v>13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f t="shared" si="5"/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f t="shared" si="6"/>
        <v>0</v>
      </c>
      <c r="X7" s="10">
        <v>0</v>
      </c>
      <c r="Y7" s="10">
        <v>0</v>
      </c>
      <c r="Z7" s="10">
        <f t="shared" si="7"/>
        <v>0</v>
      </c>
      <c r="AB7" s="43" t="s">
        <v>13</v>
      </c>
      <c r="AC7" s="19" t="str">
        <f t="shared" si="0"/>
        <v/>
      </c>
      <c r="AD7" s="19" t="str">
        <f t="shared" si="1"/>
        <v/>
      </c>
      <c r="AE7" s="19" t="str">
        <f t="shared" si="2"/>
        <v/>
      </c>
      <c r="AF7" s="19" t="str">
        <f t="shared" si="3"/>
        <v/>
      </c>
      <c r="AG7" s="19" t="str">
        <f t="shared" si="4"/>
        <v/>
      </c>
    </row>
    <row r="8" spans="1:33" x14ac:dyDescent="0.25">
      <c r="A8" s="43" t="s">
        <v>14</v>
      </c>
      <c r="B8" s="10">
        <v>142.31833333333299</v>
      </c>
      <c r="C8" s="10">
        <v>125.87</v>
      </c>
      <c r="D8" s="10">
        <v>32.700000000000003</v>
      </c>
      <c r="E8" s="10">
        <v>0</v>
      </c>
      <c r="F8" s="10">
        <v>46.35</v>
      </c>
      <c r="G8" s="10">
        <v>27.19</v>
      </c>
      <c r="H8" s="10">
        <v>0</v>
      </c>
      <c r="I8" s="10">
        <v>0</v>
      </c>
      <c r="J8" s="10">
        <f t="shared" si="5"/>
        <v>106.24000000000001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 t="shared" si="6"/>
        <v>0</v>
      </c>
      <c r="X8" s="10">
        <v>0</v>
      </c>
      <c r="Y8" s="10">
        <v>0</v>
      </c>
      <c r="Z8" s="10">
        <f t="shared" si="7"/>
        <v>0</v>
      </c>
      <c r="AB8" s="43" t="s">
        <v>14</v>
      </c>
      <c r="AC8" s="19">
        <f t="shared" si="0"/>
        <v>0.38009498925027874</v>
      </c>
      <c r="AD8" s="19">
        <f t="shared" si="1"/>
        <v>0.33616579941866964</v>
      </c>
      <c r="AE8" s="19">
        <f t="shared" si="2"/>
        <v>0.28373921133105162</v>
      </c>
      <c r="AF8" s="19">
        <f t="shared" si="3"/>
        <v>0</v>
      </c>
      <c r="AG8" s="19">
        <f t="shared" si="4"/>
        <v>0</v>
      </c>
    </row>
    <row r="9" spans="1:33" x14ac:dyDescent="0.25">
      <c r="A9" s="43" t="s">
        <v>36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f t="shared" si="5"/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 t="shared" si="6"/>
        <v>0</v>
      </c>
      <c r="X9" s="10">
        <v>0</v>
      </c>
      <c r="Y9" s="10">
        <v>0</v>
      </c>
      <c r="Z9" s="10">
        <f t="shared" si="7"/>
        <v>0</v>
      </c>
      <c r="AB9" s="43" t="s">
        <v>36</v>
      </c>
      <c r="AC9" s="19" t="str">
        <f t="shared" si="0"/>
        <v/>
      </c>
      <c r="AD9" s="19" t="str">
        <f t="shared" si="1"/>
        <v/>
      </c>
      <c r="AE9" s="19" t="str">
        <f t="shared" si="2"/>
        <v/>
      </c>
      <c r="AF9" s="19" t="str">
        <f t="shared" si="3"/>
        <v/>
      </c>
      <c r="AG9" s="19" t="str">
        <f t="shared" si="4"/>
        <v/>
      </c>
    </row>
    <row r="10" spans="1:33" x14ac:dyDescent="0.25">
      <c r="A10" s="43" t="s">
        <v>39</v>
      </c>
      <c r="B10" s="10">
        <v>7.11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f t="shared" si="5"/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 t="shared" si="6"/>
        <v>0</v>
      </c>
      <c r="X10" s="10">
        <v>0</v>
      </c>
      <c r="Y10" s="10">
        <v>0</v>
      </c>
      <c r="Z10" s="10">
        <f t="shared" si="7"/>
        <v>0</v>
      </c>
      <c r="AB10" s="43" t="s">
        <v>39</v>
      </c>
      <c r="AC10" s="19">
        <f t="shared" si="0"/>
        <v>1</v>
      </c>
      <c r="AD10" s="19">
        <f t="shared" si="1"/>
        <v>0</v>
      </c>
      <c r="AE10" s="19">
        <f t="shared" si="2"/>
        <v>0</v>
      </c>
      <c r="AF10" s="19">
        <f t="shared" si="3"/>
        <v>0</v>
      </c>
      <c r="AG10" s="19">
        <f t="shared" si="4"/>
        <v>0</v>
      </c>
    </row>
    <row r="11" spans="1:33" x14ac:dyDescent="0.25">
      <c r="A11" s="43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 t="shared" si="5"/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 t="shared" si="6"/>
        <v>0</v>
      </c>
      <c r="X11" s="10">
        <v>0</v>
      </c>
      <c r="Y11" s="10">
        <v>0</v>
      </c>
      <c r="Z11" s="10">
        <f t="shared" si="7"/>
        <v>0</v>
      </c>
      <c r="AB11" s="43" t="s">
        <v>18</v>
      </c>
      <c r="AC11" s="19" t="str">
        <f t="shared" si="0"/>
        <v/>
      </c>
      <c r="AD11" s="19" t="str">
        <f t="shared" si="1"/>
        <v/>
      </c>
      <c r="AE11" s="19" t="str">
        <f t="shared" si="2"/>
        <v/>
      </c>
      <c r="AF11" s="19" t="str">
        <f t="shared" si="3"/>
        <v/>
      </c>
      <c r="AG11" s="19" t="str">
        <f t="shared" si="4"/>
        <v/>
      </c>
    </row>
    <row r="12" spans="1:33" x14ac:dyDescent="0.25">
      <c r="A12" s="43" t="s">
        <v>19</v>
      </c>
      <c r="B12" s="10">
        <v>0.43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f t="shared" si="5"/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 t="shared" si="6"/>
        <v>0</v>
      </c>
      <c r="X12" s="10">
        <v>0</v>
      </c>
      <c r="Y12" s="10">
        <v>0</v>
      </c>
      <c r="Z12" s="10">
        <f t="shared" si="7"/>
        <v>0</v>
      </c>
      <c r="AB12" s="43" t="s">
        <v>19</v>
      </c>
      <c r="AC12" s="19">
        <f t="shared" si="0"/>
        <v>1</v>
      </c>
      <c r="AD12" s="19">
        <f t="shared" si="1"/>
        <v>0</v>
      </c>
      <c r="AE12" s="19">
        <f t="shared" si="2"/>
        <v>0</v>
      </c>
      <c r="AF12" s="19">
        <f t="shared" si="3"/>
        <v>0</v>
      </c>
      <c r="AG12" s="19">
        <f t="shared" si="4"/>
        <v>0</v>
      </c>
    </row>
    <row r="13" spans="1:33" x14ac:dyDescent="0.25">
      <c r="A13" s="43" t="s">
        <v>23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f t="shared" si="5"/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f t="shared" si="6"/>
        <v>0</v>
      </c>
      <c r="X13" s="10">
        <v>0</v>
      </c>
      <c r="Y13" s="10">
        <v>0</v>
      </c>
      <c r="Z13" s="10">
        <f t="shared" si="7"/>
        <v>0</v>
      </c>
      <c r="AB13" s="43" t="s">
        <v>23</v>
      </c>
      <c r="AC13" s="19" t="str">
        <f t="shared" si="0"/>
        <v/>
      </c>
      <c r="AD13" s="19" t="str">
        <f t="shared" si="1"/>
        <v/>
      </c>
      <c r="AE13" s="19" t="str">
        <f t="shared" si="2"/>
        <v/>
      </c>
      <c r="AF13" s="19" t="str">
        <f t="shared" si="3"/>
        <v/>
      </c>
      <c r="AG13" s="19" t="str">
        <f t="shared" si="4"/>
        <v/>
      </c>
    </row>
    <row r="14" spans="1:33" x14ac:dyDescent="0.25">
      <c r="A14" s="4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f t="shared" si="5"/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f t="shared" si="6"/>
        <v>0</v>
      </c>
      <c r="X14" s="10">
        <v>0</v>
      </c>
      <c r="Y14" s="10">
        <v>0</v>
      </c>
      <c r="Z14" s="10">
        <f t="shared" si="7"/>
        <v>0</v>
      </c>
      <c r="AB14" s="43" t="s">
        <v>26</v>
      </c>
      <c r="AC14" s="19" t="str">
        <f t="shared" si="0"/>
        <v/>
      </c>
      <c r="AD14" s="19" t="str">
        <f t="shared" si="1"/>
        <v/>
      </c>
      <c r="AE14" s="19" t="str">
        <f t="shared" si="2"/>
        <v/>
      </c>
      <c r="AF14" s="19" t="str">
        <f t="shared" si="3"/>
        <v/>
      </c>
      <c r="AG14" s="19" t="str">
        <f t="shared" si="4"/>
        <v/>
      </c>
    </row>
    <row r="15" spans="1:33" x14ac:dyDescent="0.25">
      <c r="A15" s="43" t="s">
        <v>160</v>
      </c>
      <c r="B15" s="10">
        <v>1.2150000000000001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f t="shared" si="5"/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f t="shared" si="6"/>
        <v>0</v>
      </c>
      <c r="X15" s="10">
        <v>0</v>
      </c>
      <c r="Y15" s="10">
        <v>0</v>
      </c>
      <c r="Z15" s="10">
        <f t="shared" si="7"/>
        <v>0</v>
      </c>
      <c r="AB15" s="43" t="s">
        <v>160</v>
      </c>
      <c r="AC15" s="19">
        <f t="shared" si="0"/>
        <v>1</v>
      </c>
      <c r="AD15" s="19">
        <f t="shared" si="1"/>
        <v>0</v>
      </c>
      <c r="AE15" s="19">
        <f t="shared" si="2"/>
        <v>0</v>
      </c>
      <c r="AF15" s="19">
        <f t="shared" si="3"/>
        <v>0</v>
      </c>
      <c r="AG15" s="19">
        <f t="shared" si="4"/>
        <v>0</v>
      </c>
    </row>
    <row r="16" spans="1:33" x14ac:dyDescent="0.25">
      <c r="A16" s="43" t="s">
        <v>161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f t="shared" si="5"/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f t="shared" si="6"/>
        <v>0</v>
      </c>
      <c r="X16" s="10">
        <v>0</v>
      </c>
      <c r="Y16" s="10">
        <v>0</v>
      </c>
      <c r="Z16" s="10">
        <f t="shared" si="7"/>
        <v>0</v>
      </c>
      <c r="AB16" s="43" t="s">
        <v>161</v>
      </c>
      <c r="AC16" s="19" t="str">
        <f t="shared" si="0"/>
        <v/>
      </c>
      <c r="AD16" s="19" t="str">
        <f t="shared" si="1"/>
        <v/>
      </c>
      <c r="AE16" s="19" t="str">
        <f t="shared" si="2"/>
        <v/>
      </c>
      <c r="AF16" s="19" t="str">
        <f t="shared" si="3"/>
        <v/>
      </c>
      <c r="AG16" s="19" t="str">
        <f t="shared" si="4"/>
        <v/>
      </c>
    </row>
    <row r="17" spans="1:33" x14ac:dyDescent="0.25">
      <c r="A17" s="43" t="s">
        <v>89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5"/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f t="shared" si="6"/>
        <v>0</v>
      </c>
      <c r="X17" s="10">
        <v>0</v>
      </c>
      <c r="Y17" s="10">
        <v>0</v>
      </c>
      <c r="Z17" s="10">
        <f t="shared" si="7"/>
        <v>0</v>
      </c>
      <c r="AB17" s="43" t="s">
        <v>89</v>
      </c>
      <c r="AC17" s="19" t="str">
        <f t="shared" si="0"/>
        <v/>
      </c>
      <c r="AD17" s="19" t="str">
        <f t="shared" si="1"/>
        <v/>
      </c>
      <c r="AE17" s="19" t="str">
        <f t="shared" si="2"/>
        <v/>
      </c>
      <c r="AF17" s="19" t="str">
        <f t="shared" si="3"/>
        <v/>
      </c>
      <c r="AG17" s="19" t="str">
        <f t="shared" si="4"/>
        <v/>
      </c>
    </row>
    <row r="18" spans="1:33" x14ac:dyDescent="0.25">
      <c r="A18" s="43" t="s">
        <v>32</v>
      </c>
      <c r="B18" s="10">
        <v>147.19</v>
      </c>
      <c r="C18" s="10">
        <v>117.19499999999999</v>
      </c>
      <c r="D18" s="10">
        <v>71.61</v>
      </c>
      <c r="E18" s="10">
        <v>102.04</v>
      </c>
      <c r="F18" s="10">
        <v>43.71</v>
      </c>
      <c r="G18" s="10">
        <v>0</v>
      </c>
      <c r="H18" s="10">
        <v>0</v>
      </c>
      <c r="I18" s="10">
        <v>36.49</v>
      </c>
      <c r="J18" s="10">
        <f t="shared" si="5"/>
        <v>253.85000000000002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75.290000000000006</v>
      </c>
      <c r="S18" s="10">
        <v>0</v>
      </c>
      <c r="T18" s="10">
        <v>0</v>
      </c>
      <c r="U18" s="10">
        <v>92.72</v>
      </c>
      <c r="V18" s="10">
        <v>0</v>
      </c>
      <c r="W18" s="10">
        <f t="shared" si="6"/>
        <v>168.01</v>
      </c>
      <c r="X18" s="10">
        <v>106.96</v>
      </c>
      <c r="Y18" s="10">
        <v>0</v>
      </c>
      <c r="Z18" s="10">
        <f t="shared" si="7"/>
        <v>106.96</v>
      </c>
      <c r="AB18" s="43" t="s">
        <v>32</v>
      </c>
      <c r="AC18" s="19">
        <f t="shared" si="0"/>
        <v>0.18556363109158414</v>
      </c>
      <c r="AD18" s="19">
        <f t="shared" si="1"/>
        <v>0.14774869043941979</v>
      </c>
      <c r="AE18" s="19">
        <f t="shared" si="2"/>
        <v>0.32003076127861019</v>
      </c>
      <c r="AF18" s="19">
        <f t="shared" si="3"/>
        <v>0.21181157456143113</v>
      </c>
      <c r="AG18" s="19">
        <f t="shared" si="4"/>
        <v>0.13484534262895467</v>
      </c>
    </row>
    <row r="19" spans="1:33" x14ac:dyDescent="0.25">
      <c r="A19" s="43" t="s">
        <v>90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f t="shared" si="5"/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 t="shared" si="6"/>
        <v>0</v>
      </c>
      <c r="X19" s="10">
        <v>0</v>
      </c>
      <c r="Y19" s="10">
        <v>0</v>
      </c>
      <c r="Z19" s="10">
        <f t="shared" si="7"/>
        <v>0</v>
      </c>
      <c r="AB19" s="43" t="s">
        <v>90</v>
      </c>
      <c r="AC19" s="19" t="str">
        <f t="shared" si="0"/>
        <v/>
      </c>
      <c r="AD19" s="19" t="str">
        <f t="shared" si="1"/>
        <v/>
      </c>
      <c r="AE19" s="19" t="str">
        <f t="shared" si="2"/>
        <v/>
      </c>
      <c r="AF19" s="19" t="str">
        <f t="shared" si="3"/>
        <v/>
      </c>
      <c r="AG19" s="19" t="str">
        <f t="shared" si="4"/>
        <v/>
      </c>
    </row>
    <row r="20" spans="1:33" x14ac:dyDescent="0.25">
      <c r="A20" s="43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5"/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f t="shared" si="6"/>
        <v>0</v>
      </c>
      <c r="X20" s="10">
        <v>0</v>
      </c>
      <c r="Y20" s="10">
        <v>0</v>
      </c>
      <c r="Z20" s="10">
        <f t="shared" ref="Z20:Z21" si="8">SUM(X20:Y20)</f>
        <v>0</v>
      </c>
      <c r="AB20" s="43" t="s">
        <v>91</v>
      </c>
      <c r="AC20" s="19" t="str">
        <f t="shared" si="0"/>
        <v/>
      </c>
      <c r="AD20" s="19" t="str">
        <f t="shared" si="1"/>
        <v/>
      </c>
      <c r="AE20" s="19" t="str">
        <f t="shared" si="2"/>
        <v/>
      </c>
      <c r="AF20" s="19" t="str">
        <f t="shared" si="3"/>
        <v/>
      </c>
      <c r="AG20" s="19" t="str">
        <f t="shared" si="4"/>
        <v/>
      </c>
    </row>
    <row r="21" spans="1:33" x14ac:dyDescent="0.25">
      <c r="A21" s="59" t="s">
        <v>33</v>
      </c>
      <c r="B21" s="53">
        <v>489.863333333333</v>
      </c>
      <c r="C21" s="53">
        <v>379.91500000000002</v>
      </c>
      <c r="D21" s="53">
        <v>222.83</v>
      </c>
      <c r="E21" s="53">
        <v>133.25</v>
      </c>
      <c r="F21" s="53">
        <v>90.06</v>
      </c>
      <c r="G21" s="53">
        <v>53.8</v>
      </c>
      <c r="H21" s="53">
        <v>0</v>
      </c>
      <c r="I21" s="53">
        <v>74.09</v>
      </c>
      <c r="J21" s="61">
        <f t="shared" ref="J21" si="9">SUM(D21:I21)</f>
        <v>574.03000000000009</v>
      </c>
      <c r="K21" s="53">
        <v>41.74</v>
      </c>
      <c r="L21" s="53">
        <v>0</v>
      </c>
      <c r="M21" s="53">
        <v>54.55</v>
      </c>
      <c r="N21" s="53">
        <v>0</v>
      </c>
      <c r="O21" s="53">
        <v>0</v>
      </c>
      <c r="P21" s="53">
        <v>0</v>
      </c>
      <c r="Q21" s="53">
        <v>0</v>
      </c>
      <c r="R21" s="53">
        <v>75.290000000000006</v>
      </c>
      <c r="S21" s="53">
        <v>0</v>
      </c>
      <c r="T21" s="53">
        <v>0</v>
      </c>
      <c r="U21" s="53">
        <v>92.72</v>
      </c>
      <c r="V21" s="53">
        <v>0</v>
      </c>
      <c r="W21" s="61">
        <f t="shared" ref="W21" si="10">SUM(K21:V21)</f>
        <v>264.29999999999995</v>
      </c>
      <c r="X21" s="53">
        <v>106.96</v>
      </c>
      <c r="Y21" s="53">
        <v>0</v>
      </c>
      <c r="Z21" s="61">
        <f t="shared" si="8"/>
        <v>106.96</v>
      </c>
      <c r="AB21" s="59" t="s">
        <v>33</v>
      </c>
      <c r="AC21" s="65">
        <f t="shared" si="0"/>
        <v>0.26988699231709357</v>
      </c>
      <c r="AD21" s="65">
        <f t="shared" si="1"/>
        <v>0.20931167880731769</v>
      </c>
      <c r="AE21" s="134">
        <f t="shared" si="2"/>
        <v>0.31625806558247133</v>
      </c>
      <c r="AF21" s="134">
        <f t="shared" si="3"/>
        <v>0.14561435244403104</v>
      </c>
      <c r="AG21" s="134">
        <f t="shared" si="4"/>
        <v>5.8928910849086497E-2</v>
      </c>
    </row>
    <row r="24" spans="1:33" x14ac:dyDescent="0.25">
      <c r="A24" s="83" t="s">
        <v>140</v>
      </c>
      <c r="B24" s="83"/>
      <c r="AB24" s="83" t="s">
        <v>140</v>
      </c>
      <c r="AC24" s="83"/>
    </row>
    <row r="25" spans="1:33" ht="15.75" x14ac:dyDescent="0.25">
      <c r="A25" s="56" t="s">
        <v>56</v>
      </c>
      <c r="B25" s="57" t="s">
        <v>61</v>
      </c>
      <c r="C25" s="57" t="s">
        <v>62</v>
      </c>
      <c r="D25" s="57" t="s">
        <v>63</v>
      </c>
      <c r="E25" s="57" t="s">
        <v>64</v>
      </c>
      <c r="F25" s="57" t="s">
        <v>65</v>
      </c>
      <c r="G25" s="57" t="s">
        <v>66</v>
      </c>
      <c r="H25" s="57" t="s">
        <v>67</v>
      </c>
      <c r="I25" s="57" t="s">
        <v>68</v>
      </c>
      <c r="J25" s="63" t="s">
        <v>93</v>
      </c>
      <c r="K25" s="57" t="s">
        <v>69</v>
      </c>
      <c r="L25" s="57" t="s">
        <v>70</v>
      </c>
      <c r="M25" s="57" t="s">
        <v>71</v>
      </c>
      <c r="N25" s="57" t="s">
        <v>72</v>
      </c>
      <c r="O25" s="57" t="s">
        <v>73</v>
      </c>
      <c r="P25" s="57" t="s">
        <v>74</v>
      </c>
      <c r="Q25" s="57" t="s">
        <v>75</v>
      </c>
      <c r="R25" s="57" t="s">
        <v>76</v>
      </c>
      <c r="S25" s="57" t="s">
        <v>77</v>
      </c>
      <c r="T25" s="57" t="s">
        <v>78</v>
      </c>
      <c r="U25" s="57" t="s">
        <v>79</v>
      </c>
      <c r="V25" s="57" t="s">
        <v>80</v>
      </c>
      <c r="W25" s="63" t="s">
        <v>94</v>
      </c>
      <c r="X25" s="57" t="s">
        <v>81</v>
      </c>
      <c r="Y25" s="57" t="s">
        <v>82</v>
      </c>
      <c r="Z25" s="63" t="s">
        <v>95</v>
      </c>
      <c r="AB25" s="56" t="s">
        <v>56</v>
      </c>
      <c r="AC25" s="57" t="s">
        <v>61</v>
      </c>
      <c r="AD25" s="57" t="s">
        <v>62</v>
      </c>
      <c r="AE25" s="63" t="s">
        <v>93</v>
      </c>
      <c r="AF25" s="63" t="s">
        <v>94</v>
      </c>
      <c r="AG25" s="63" t="s">
        <v>95</v>
      </c>
    </row>
    <row r="26" spans="1:33" x14ac:dyDescent="0.25">
      <c r="A26" s="43" t="s">
        <v>4</v>
      </c>
      <c r="B26" s="10">
        <v>92</v>
      </c>
      <c r="C26" s="10">
        <v>19</v>
      </c>
      <c r="D26" s="10">
        <v>10</v>
      </c>
      <c r="E26" s="10">
        <v>2</v>
      </c>
      <c r="F26" s="10">
        <v>0</v>
      </c>
      <c r="G26" s="10">
        <v>1</v>
      </c>
      <c r="H26" s="10">
        <v>0</v>
      </c>
      <c r="I26" s="10">
        <v>1</v>
      </c>
      <c r="J26" s="10">
        <f>SUM(D26:I26)</f>
        <v>14</v>
      </c>
      <c r="K26" s="10">
        <v>1</v>
      </c>
      <c r="L26" s="10">
        <v>0</v>
      </c>
      <c r="M26" s="10">
        <v>1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SUM(K26:V26)</f>
        <v>2</v>
      </c>
      <c r="X26" s="10">
        <v>0</v>
      </c>
      <c r="Y26" s="10">
        <v>0</v>
      </c>
      <c r="Z26" s="10">
        <f>SUM(X26:Y26)</f>
        <v>0</v>
      </c>
      <c r="AB26" s="43" t="s">
        <v>4</v>
      </c>
      <c r="AC26" s="19">
        <f t="shared" ref="AC26:AC42" si="11">IFERROR(B26/SUM($B26+$C26+$J26+$W26+$Z26),"")</f>
        <v>0.72440944881889768</v>
      </c>
      <c r="AD26" s="19">
        <f t="shared" ref="AD26:AD42" si="12">IFERROR(C26/SUM($B26+$C26+$J26+$W26+$Z26),"")</f>
        <v>0.14960629921259844</v>
      </c>
      <c r="AE26" s="19">
        <f t="shared" ref="AE26:AE42" si="13">IFERROR(J26/SUM($B26+$C26+$J26+$W26+$Z26),"")</f>
        <v>0.11023622047244094</v>
      </c>
      <c r="AF26" s="19">
        <f t="shared" ref="AF26:AF42" si="14">IFERROR(W26/SUM($B26+$C26+$J26+$W26+$Z26),"")</f>
        <v>1.5748031496062992E-2</v>
      </c>
      <c r="AG26" s="19">
        <f t="shared" ref="AG26:AG42" si="15">IFERROR(Z26/SUM($B26+$C26+$J26+$W26+$Z26),"")</f>
        <v>0</v>
      </c>
    </row>
    <row r="27" spans="1:33" x14ac:dyDescent="0.25">
      <c r="A27" s="43" t="s">
        <v>43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f t="shared" ref="J27:J38" si="16">SUM(D27:I27)</f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f t="shared" ref="W27:W37" si="17">SUM(K27:V27)</f>
        <v>0</v>
      </c>
      <c r="X27" s="10">
        <v>0</v>
      </c>
      <c r="Y27" s="10">
        <v>0</v>
      </c>
      <c r="Z27" s="10">
        <f t="shared" ref="Z27:Z41" si="18">SUM(X27:Y27)</f>
        <v>0</v>
      </c>
      <c r="AB27" s="43" t="s">
        <v>43</v>
      </c>
      <c r="AC27" s="19" t="str">
        <f t="shared" si="11"/>
        <v/>
      </c>
      <c r="AD27" s="19" t="str">
        <f t="shared" si="12"/>
        <v/>
      </c>
      <c r="AE27" s="19" t="str">
        <f t="shared" si="13"/>
        <v/>
      </c>
      <c r="AF27" s="19" t="str">
        <f t="shared" si="14"/>
        <v/>
      </c>
      <c r="AG27" s="19" t="str">
        <f t="shared" si="15"/>
        <v/>
      </c>
    </row>
    <row r="28" spans="1:33" x14ac:dyDescent="0.25">
      <c r="A28" s="43" t="s">
        <v>13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f t="shared" si="16"/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 t="shared" si="17"/>
        <v>0</v>
      </c>
      <c r="X28" s="10">
        <v>0</v>
      </c>
      <c r="Y28" s="10">
        <v>0</v>
      </c>
      <c r="Z28" s="10">
        <f t="shared" si="18"/>
        <v>0</v>
      </c>
      <c r="AB28" s="43" t="s">
        <v>13</v>
      </c>
      <c r="AC28" s="19" t="str">
        <f t="shared" si="11"/>
        <v/>
      </c>
      <c r="AD28" s="19" t="str">
        <f t="shared" si="12"/>
        <v/>
      </c>
      <c r="AE28" s="19" t="str">
        <f t="shared" si="13"/>
        <v/>
      </c>
      <c r="AF28" s="19" t="str">
        <f t="shared" si="14"/>
        <v/>
      </c>
      <c r="AG28" s="19" t="str">
        <f t="shared" si="15"/>
        <v/>
      </c>
    </row>
    <row r="29" spans="1:33" x14ac:dyDescent="0.25">
      <c r="A29" s="43" t="s">
        <v>14</v>
      </c>
      <c r="B29" s="10">
        <v>159</v>
      </c>
      <c r="C29" s="10">
        <v>18</v>
      </c>
      <c r="D29" s="10">
        <v>3</v>
      </c>
      <c r="E29" s="10">
        <v>0</v>
      </c>
      <c r="F29" s="10">
        <v>2</v>
      </c>
      <c r="G29" s="10">
        <v>1</v>
      </c>
      <c r="H29" s="10">
        <v>0</v>
      </c>
      <c r="I29" s="10">
        <v>0</v>
      </c>
      <c r="J29" s="10">
        <f t="shared" si="16"/>
        <v>6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 t="shared" si="17"/>
        <v>0</v>
      </c>
      <c r="X29" s="10">
        <v>0</v>
      </c>
      <c r="Y29" s="10">
        <v>0</v>
      </c>
      <c r="Z29" s="10">
        <f t="shared" si="18"/>
        <v>0</v>
      </c>
      <c r="AB29" s="43" t="s">
        <v>14</v>
      </c>
      <c r="AC29" s="19">
        <f t="shared" si="11"/>
        <v>0.86885245901639341</v>
      </c>
      <c r="AD29" s="19">
        <f t="shared" si="12"/>
        <v>9.8360655737704916E-2</v>
      </c>
      <c r="AE29" s="19">
        <f t="shared" si="13"/>
        <v>3.2786885245901641E-2</v>
      </c>
      <c r="AF29" s="19">
        <f t="shared" si="14"/>
        <v>0</v>
      </c>
      <c r="AG29" s="19">
        <f t="shared" si="15"/>
        <v>0</v>
      </c>
    </row>
    <row r="30" spans="1:33" x14ac:dyDescent="0.25">
      <c r="A30" s="43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f t="shared" si="16"/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f t="shared" si="17"/>
        <v>0</v>
      </c>
      <c r="X30" s="10">
        <v>0</v>
      </c>
      <c r="Y30" s="10">
        <v>0</v>
      </c>
      <c r="Z30" s="10">
        <f t="shared" si="18"/>
        <v>0</v>
      </c>
      <c r="AB30" s="43" t="s">
        <v>36</v>
      </c>
      <c r="AC30" s="19" t="str">
        <f t="shared" si="11"/>
        <v/>
      </c>
      <c r="AD30" s="19" t="str">
        <f t="shared" si="12"/>
        <v/>
      </c>
      <c r="AE30" s="19" t="str">
        <f t="shared" si="13"/>
        <v/>
      </c>
      <c r="AF30" s="19" t="str">
        <f t="shared" si="14"/>
        <v/>
      </c>
      <c r="AG30" s="19" t="str">
        <f t="shared" si="15"/>
        <v/>
      </c>
    </row>
    <row r="31" spans="1:33" x14ac:dyDescent="0.25">
      <c r="A31" s="43" t="s">
        <v>39</v>
      </c>
      <c r="B31" s="10">
        <v>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f t="shared" si="16"/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f t="shared" si="17"/>
        <v>0</v>
      </c>
      <c r="X31" s="10">
        <v>0</v>
      </c>
      <c r="Y31" s="10">
        <v>0</v>
      </c>
      <c r="Z31" s="10">
        <f t="shared" si="18"/>
        <v>0</v>
      </c>
      <c r="AB31" s="43" t="s">
        <v>39</v>
      </c>
      <c r="AC31" s="19">
        <f t="shared" si="11"/>
        <v>1</v>
      </c>
      <c r="AD31" s="19">
        <f t="shared" si="12"/>
        <v>0</v>
      </c>
      <c r="AE31" s="19">
        <f t="shared" si="13"/>
        <v>0</v>
      </c>
      <c r="AF31" s="19">
        <f t="shared" si="14"/>
        <v>0</v>
      </c>
      <c r="AG31" s="19">
        <f t="shared" si="15"/>
        <v>0</v>
      </c>
    </row>
    <row r="32" spans="1:33" x14ac:dyDescent="0.25">
      <c r="A32" s="43" t="s">
        <v>18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f t="shared" si="16"/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f t="shared" si="17"/>
        <v>0</v>
      </c>
      <c r="X32" s="10">
        <v>0</v>
      </c>
      <c r="Y32" s="10">
        <v>0</v>
      </c>
      <c r="Z32" s="10">
        <f t="shared" si="18"/>
        <v>0</v>
      </c>
      <c r="AB32" s="43" t="s">
        <v>18</v>
      </c>
      <c r="AC32" s="19" t="str">
        <f t="shared" si="11"/>
        <v/>
      </c>
      <c r="AD32" s="19" t="str">
        <f t="shared" si="12"/>
        <v/>
      </c>
      <c r="AE32" s="19" t="str">
        <f t="shared" si="13"/>
        <v/>
      </c>
      <c r="AF32" s="19" t="str">
        <f t="shared" si="14"/>
        <v/>
      </c>
      <c r="AG32" s="19" t="str">
        <f t="shared" si="15"/>
        <v/>
      </c>
    </row>
    <row r="33" spans="1:33" x14ac:dyDescent="0.25">
      <c r="A33" s="43" t="s">
        <v>19</v>
      </c>
      <c r="B33" s="10">
        <v>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f t="shared" si="16"/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 t="shared" si="17"/>
        <v>0</v>
      </c>
      <c r="X33" s="10">
        <v>0</v>
      </c>
      <c r="Y33" s="10">
        <v>0</v>
      </c>
      <c r="Z33" s="10">
        <f t="shared" si="18"/>
        <v>0</v>
      </c>
      <c r="AB33" s="43" t="s">
        <v>19</v>
      </c>
      <c r="AC33" s="19">
        <f t="shared" si="11"/>
        <v>1</v>
      </c>
      <c r="AD33" s="19">
        <f t="shared" si="12"/>
        <v>0</v>
      </c>
      <c r="AE33" s="19">
        <f t="shared" si="13"/>
        <v>0</v>
      </c>
      <c r="AF33" s="19">
        <f t="shared" si="14"/>
        <v>0</v>
      </c>
      <c r="AG33" s="19">
        <f t="shared" si="15"/>
        <v>0</v>
      </c>
    </row>
    <row r="34" spans="1:33" x14ac:dyDescent="0.25">
      <c r="A34" s="43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f t="shared" si="16"/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 t="shared" si="17"/>
        <v>0</v>
      </c>
      <c r="X34" s="10">
        <v>0</v>
      </c>
      <c r="Y34" s="10">
        <v>0</v>
      </c>
      <c r="Z34" s="10">
        <f t="shared" si="18"/>
        <v>0</v>
      </c>
      <c r="AB34" s="43" t="s">
        <v>23</v>
      </c>
      <c r="AC34" s="19" t="str">
        <f t="shared" si="11"/>
        <v/>
      </c>
      <c r="AD34" s="19" t="str">
        <f t="shared" si="12"/>
        <v/>
      </c>
      <c r="AE34" s="19" t="str">
        <f t="shared" si="13"/>
        <v/>
      </c>
      <c r="AF34" s="19" t="str">
        <f t="shared" si="14"/>
        <v/>
      </c>
      <c r="AG34" s="19" t="str">
        <f t="shared" si="15"/>
        <v/>
      </c>
    </row>
    <row r="35" spans="1:33" x14ac:dyDescent="0.25">
      <c r="A35" s="43" t="s">
        <v>26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f t="shared" si="16"/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f t="shared" si="17"/>
        <v>0</v>
      </c>
      <c r="X35" s="10">
        <v>0</v>
      </c>
      <c r="Y35" s="10">
        <v>0</v>
      </c>
      <c r="Z35" s="10">
        <f t="shared" si="18"/>
        <v>0</v>
      </c>
      <c r="AB35" s="43" t="s">
        <v>26</v>
      </c>
      <c r="AC35" s="19" t="str">
        <f t="shared" si="11"/>
        <v/>
      </c>
      <c r="AD35" s="19" t="str">
        <f t="shared" si="12"/>
        <v/>
      </c>
      <c r="AE35" s="19" t="str">
        <f t="shared" si="13"/>
        <v/>
      </c>
      <c r="AF35" s="19" t="str">
        <f t="shared" si="14"/>
        <v/>
      </c>
      <c r="AG35" s="19" t="str">
        <f t="shared" si="15"/>
        <v/>
      </c>
    </row>
    <row r="36" spans="1:33" x14ac:dyDescent="0.25">
      <c r="A36" s="43" t="s">
        <v>160</v>
      </c>
      <c r="B36" s="10">
        <v>4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f t="shared" si="16"/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 t="shared" si="17"/>
        <v>0</v>
      </c>
      <c r="X36" s="10">
        <v>0</v>
      </c>
      <c r="Y36" s="10">
        <v>0</v>
      </c>
      <c r="Z36" s="10">
        <f t="shared" si="18"/>
        <v>0</v>
      </c>
      <c r="AB36" s="43" t="s">
        <v>160</v>
      </c>
      <c r="AC36" s="19">
        <f t="shared" si="11"/>
        <v>1</v>
      </c>
      <c r="AD36" s="19">
        <f t="shared" si="12"/>
        <v>0</v>
      </c>
      <c r="AE36" s="19">
        <f t="shared" si="13"/>
        <v>0</v>
      </c>
      <c r="AF36" s="19">
        <f t="shared" si="14"/>
        <v>0</v>
      </c>
      <c r="AG36" s="19">
        <f t="shared" si="15"/>
        <v>0</v>
      </c>
    </row>
    <row r="37" spans="1:33" x14ac:dyDescent="0.25">
      <c r="A37" s="43" t="s">
        <v>161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f t="shared" si="16"/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 t="shared" si="17"/>
        <v>0</v>
      </c>
      <c r="X37" s="10">
        <v>0</v>
      </c>
      <c r="Y37" s="10">
        <v>0</v>
      </c>
      <c r="Z37" s="10">
        <f t="shared" si="18"/>
        <v>0</v>
      </c>
      <c r="AB37" s="43" t="s">
        <v>161</v>
      </c>
      <c r="AC37" s="19" t="str">
        <f t="shared" si="11"/>
        <v/>
      </c>
      <c r="AD37" s="19" t="str">
        <f t="shared" si="12"/>
        <v/>
      </c>
      <c r="AE37" s="19" t="str">
        <f t="shared" si="13"/>
        <v/>
      </c>
      <c r="AF37" s="19" t="str">
        <f t="shared" si="14"/>
        <v/>
      </c>
      <c r="AG37" s="19" t="str">
        <f t="shared" si="15"/>
        <v/>
      </c>
    </row>
    <row r="38" spans="1:33" x14ac:dyDescent="0.25">
      <c r="A38" s="43" t="s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f t="shared" si="16"/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f t="shared" ref="W38:W42" si="19">SUM(K38:V38)</f>
        <v>0</v>
      </c>
      <c r="X38" s="10">
        <v>0</v>
      </c>
      <c r="Y38" s="10">
        <v>0</v>
      </c>
      <c r="Z38" s="10">
        <f t="shared" si="18"/>
        <v>0</v>
      </c>
      <c r="AB38" s="43" t="s">
        <v>89</v>
      </c>
      <c r="AC38" s="19" t="str">
        <f t="shared" si="11"/>
        <v/>
      </c>
      <c r="AD38" s="19" t="str">
        <f t="shared" si="12"/>
        <v/>
      </c>
      <c r="AE38" s="19" t="str">
        <f t="shared" si="13"/>
        <v/>
      </c>
      <c r="AF38" s="19" t="str">
        <f t="shared" si="14"/>
        <v/>
      </c>
      <c r="AG38" s="19" t="str">
        <f t="shared" si="15"/>
        <v/>
      </c>
    </row>
    <row r="39" spans="1:33" x14ac:dyDescent="0.25">
      <c r="A39" s="43" t="s">
        <v>32</v>
      </c>
      <c r="B39" s="10">
        <v>82</v>
      </c>
      <c r="C39" s="10">
        <v>16</v>
      </c>
      <c r="D39" s="10">
        <v>6</v>
      </c>
      <c r="E39" s="10">
        <v>6</v>
      </c>
      <c r="F39" s="10">
        <v>2</v>
      </c>
      <c r="G39" s="10">
        <v>0</v>
      </c>
      <c r="H39" s="10">
        <v>0</v>
      </c>
      <c r="I39" s="10">
        <v>1</v>
      </c>
      <c r="J39" s="10">
        <f t="shared" ref="J39:J42" si="20">SUM(D39:I39)</f>
        <v>15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1</v>
      </c>
      <c r="S39" s="10">
        <v>0</v>
      </c>
      <c r="T39" s="10">
        <v>0</v>
      </c>
      <c r="U39" s="10">
        <v>1</v>
      </c>
      <c r="V39" s="10">
        <v>0</v>
      </c>
      <c r="W39" s="10">
        <f t="shared" si="19"/>
        <v>2</v>
      </c>
      <c r="X39" s="10">
        <v>1</v>
      </c>
      <c r="Y39" s="10">
        <v>0</v>
      </c>
      <c r="Z39" s="10">
        <f t="shared" si="18"/>
        <v>1</v>
      </c>
      <c r="AB39" s="43" t="s">
        <v>32</v>
      </c>
      <c r="AC39" s="19">
        <f t="shared" si="11"/>
        <v>0.7068965517241379</v>
      </c>
      <c r="AD39" s="19">
        <f t="shared" si="12"/>
        <v>0.13793103448275862</v>
      </c>
      <c r="AE39" s="19">
        <f t="shared" si="13"/>
        <v>0.12931034482758622</v>
      </c>
      <c r="AF39" s="19">
        <f t="shared" si="14"/>
        <v>1.7241379310344827E-2</v>
      </c>
      <c r="AG39" s="19">
        <f t="shared" si="15"/>
        <v>8.6206896551724137E-3</v>
      </c>
    </row>
    <row r="40" spans="1:33" x14ac:dyDescent="0.25">
      <c r="A40" s="43" t="s">
        <v>90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f t="shared" si="20"/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 t="shared" si="19"/>
        <v>0</v>
      </c>
      <c r="X40" s="10">
        <v>0</v>
      </c>
      <c r="Y40" s="10">
        <v>0</v>
      </c>
      <c r="Z40" s="10">
        <f t="shared" si="18"/>
        <v>0</v>
      </c>
      <c r="AB40" s="43" t="s">
        <v>90</v>
      </c>
      <c r="AC40" s="19" t="str">
        <f t="shared" si="11"/>
        <v/>
      </c>
      <c r="AD40" s="19" t="str">
        <f t="shared" si="12"/>
        <v/>
      </c>
      <c r="AE40" s="19" t="str">
        <f t="shared" si="13"/>
        <v/>
      </c>
      <c r="AF40" s="19" t="str">
        <f t="shared" si="14"/>
        <v/>
      </c>
      <c r="AG40" s="19" t="str">
        <f t="shared" si="15"/>
        <v/>
      </c>
    </row>
    <row r="41" spans="1:33" x14ac:dyDescent="0.25">
      <c r="A41" s="43" t="s">
        <v>91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f t="shared" si="20"/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f t="shared" si="19"/>
        <v>0</v>
      </c>
      <c r="X41" s="10">
        <v>0</v>
      </c>
      <c r="Y41" s="10">
        <v>0</v>
      </c>
      <c r="Z41" s="10">
        <f t="shared" si="18"/>
        <v>0</v>
      </c>
      <c r="AB41" s="43" t="s">
        <v>91</v>
      </c>
      <c r="AC41" s="19" t="str">
        <f t="shared" si="11"/>
        <v/>
      </c>
      <c r="AD41" s="19" t="str">
        <f t="shared" si="12"/>
        <v/>
      </c>
      <c r="AE41" s="19" t="str">
        <f t="shared" si="13"/>
        <v/>
      </c>
      <c r="AF41" s="19" t="str">
        <f t="shared" si="14"/>
        <v/>
      </c>
      <c r="AG41" s="19" t="str">
        <f t="shared" si="15"/>
        <v/>
      </c>
    </row>
    <row r="42" spans="1:33" x14ac:dyDescent="0.25">
      <c r="A42" s="59" t="s">
        <v>33</v>
      </c>
      <c r="B42" s="53">
        <v>343</v>
      </c>
      <c r="C42" s="53">
        <v>53</v>
      </c>
      <c r="D42" s="53">
        <v>19</v>
      </c>
      <c r="E42" s="53">
        <v>8</v>
      </c>
      <c r="F42" s="53">
        <v>4</v>
      </c>
      <c r="G42" s="53">
        <v>2</v>
      </c>
      <c r="H42" s="53">
        <v>0</v>
      </c>
      <c r="I42" s="53">
        <v>2</v>
      </c>
      <c r="J42" s="61">
        <f t="shared" si="20"/>
        <v>35</v>
      </c>
      <c r="K42" s="53">
        <v>1</v>
      </c>
      <c r="L42" s="53">
        <v>0</v>
      </c>
      <c r="M42" s="53">
        <v>1</v>
      </c>
      <c r="N42" s="53">
        <v>0</v>
      </c>
      <c r="O42" s="53">
        <v>0</v>
      </c>
      <c r="P42" s="53">
        <v>0</v>
      </c>
      <c r="Q42" s="53">
        <v>0</v>
      </c>
      <c r="R42" s="53">
        <v>1</v>
      </c>
      <c r="S42" s="53">
        <v>0</v>
      </c>
      <c r="T42" s="53">
        <v>0</v>
      </c>
      <c r="U42" s="53">
        <v>1</v>
      </c>
      <c r="V42" s="53">
        <v>0</v>
      </c>
      <c r="W42" s="61">
        <f t="shared" si="19"/>
        <v>4</v>
      </c>
      <c r="X42" s="53">
        <v>1</v>
      </c>
      <c r="Y42" s="53">
        <v>0</v>
      </c>
      <c r="Z42" s="61">
        <f t="shared" ref="Z42" si="21">SUM(X42:Y42)</f>
        <v>1</v>
      </c>
      <c r="AB42" s="59" t="s">
        <v>33</v>
      </c>
      <c r="AC42" s="65">
        <f t="shared" si="11"/>
        <v>0.78669724770642202</v>
      </c>
      <c r="AD42" s="65">
        <f t="shared" si="12"/>
        <v>0.12155963302752294</v>
      </c>
      <c r="AE42" s="134">
        <f t="shared" si="13"/>
        <v>8.027522935779817E-2</v>
      </c>
      <c r="AF42" s="134">
        <f t="shared" si="14"/>
        <v>9.1743119266055051E-3</v>
      </c>
      <c r="AG42" s="134">
        <f t="shared" si="15"/>
        <v>2.2935779816513763E-3</v>
      </c>
    </row>
    <row r="46" spans="1:33" x14ac:dyDescent="0.25">
      <c r="A46" s="72"/>
      <c r="B46" s="72"/>
      <c r="C46" s="73" t="s">
        <v>105</v>
      </c>
      <c r="D46" s="74"/>
      <c r="E46" s="74"/>
      <c r="F46" s="74"/>
      <c r="G46" s="74"/>
      <c r="H46" s="74"/>
      <c r="I46" s="74"/>
      <c r="J46" s="74" t="s">
        <v>106</v>
      </c>
    </row>
    <row r="47" spans="1:33" x14ac:dyDescent="0.25">
      <c r="A47" s="219" t="s">
        <v>4</v>
      </c>
      <c r="B47" s="75" t="s">
        <v>107</v>
      </c>
      <c r="C47" s="19">
        <v>0.29999373708273314</v>
      </c>
      <c r="D47" s="76"/>
      <c r="E47" s="76"/>
      <c r="F47" s="76"/>
      <c r="G47" s="76"/>
      <c r="H47" s="76"/>
      <c r="I47" s="76"/>
      <c r="J47" s="77">
        <v>0.72440944881889768</v>
      </c>
    </row>
    <row r="48" spans="1:33" x14ac:dyDescent="0.25">
      <c r="A48" s="220"/>
      <c r="B48" s="78" t="s">
        <v>108</v>
      </c>
      <c r="C48" s="19">
        <v>0.21427005699254714</v>
      </c>
      <c r="D48" s="77"/>
      <c r="E48" s="77"/>
      <c r="F48" s="77"/>
      <c r="G48" s="77"/>
      <c r="H48" s="77"/>
      <c r="I48" s="77"/>
      <c r="J48" s="77">
        <v>0.14960629921259844</v>
      </c>
    </row>
    <row r="49" spans="1:10" x14ac:dyDescent="0.25">
      <c r="A49" s="220"/>
      <c r="B49" s="75" t="s">
        <v>93</v>
      </c>
      <c r="C49" s="19">
        <v>0.33497213001816245</v>
      </c>
      <c r="D49" s="77"/>
      <c r="E49" s="77"/>
      <c r="F49" s="77"/>
      <c r="G49" s="77"/>
      <c r="H49" s="77"/>
      <c r="I49" s="77"/>
      <c r="J49" s="77">
        <v>0.11023622047244094</v>
      </c>
    </row>
    <row r="50" spans="1:10" x14ac:dyDescent="0.25">
      <c r="A50" s="220"/>
      <c r="B50" s="75" t="s">
        <v>109</v>
      </c>
      <c r="C50" s="77">
        <v>0.15076407590655727</v>
      </c>
      <c r="D50" s="77"/>
      <c r="E50" s="77"/>
      <c r="F50" s="77"/>
      <c r="G50" s="77"/>
      <c r="H50" s="77"/>
      <c r="I50" s="77"/>
      <c r="J50" s="77">
        <v>1.5748031496062992E-2</v>
      </c>
    </row>
    <row r="51" spans="1:10" x14ac:dyDescent="0.25">
      <c r="A51" s="221"/>
      <c r="B51" s="75" t="s">
        <v>95</v>
      </c>
      <c r="C51" s="77">
        <v>0</v>
      </c>
      <c r="D51" s="77"/>
      <c r="E51" s="77"/>
      <c r="F51" s="77"/>
      <c r="G51" s="77"/>
      <c r="H51" s="77"/>
      <c r="I51" s="77"/>
      <c r="J51" s="77">
        <v>0</v>
      </c>
    </row>
    <row r="52" spans="1:10" x14ac:dyDescent="0.25">
      <c r="A52" s="219" t="s">
        <v>14</v>
      </c>
      <c r="B52" s="75" t="s">
        <v>107</v>
      </c>
      <c r="C52" s="29">
        <v>0.38009498925027874</v>
      </c>
      <c r="D52" s="29"/>
      <c r="E52" s="29"/>
      <c r="F52" s="29"/>
      <c r="G52" s="29"/>
      <c r="H52" s="29"/>
      <c r="I52" s="29"/>
      <c r="J52" s="77">
        <v>0.86885245901639341</v>
      </c>
    </row>
    <row r="53" spans="1:10" x14ac:dyDescent="0.25">
      <c r="A53" s="220"/>
      <c r="B53" s="78" t="s">
        <v>108</v>
      </c>
      <c r="C53" s="29">
        <v>0.33616579941866964</v>
      </c>
      <c r="D53" s="29"/>
      <c r="E53" s="29"/>
      <c r="F53" s="29"/>
      <c r="G53" s="29"/>
      <c r="H53" s="29"/>
      <c r="I53" s="29"/>
      <c r="J53" s="77">
        <v>9.8360655737704916E-2</v>
      </c>
    </row>
    <row r="54" spans="1:10" x14ac:dyDescent="0.25">
      <c r="A54" s="220"/>
      <c r="B54" s="75" t="s">
        <v>93</v>
      </c>
      <c r="C54" s="29">
        <v>0.28373921133105162</v>
      </c>
      <c r="D54" s="29"/>
      <c r="E54" s="29"/>
      <c r="F54" s="29"/>
      <c r="G54" s="29"/>
      <c r="H54" s="29"/>
      <c r="I54" s="29"/>
      <c r="J54" s="77">
        <v>3.2786885245901641E-2</v>
      </c>
    </row>
    <row r="55" spans="1:10" x14ac:dyDescent="0.25">
      <c r="A55" s="220"/>
      <c r="B55" s="75" t="s">
        <v>109</v>
      </c>
      <c r="C55" s="29">
        <v>0</v>
      </c>
      <c r="D55" s="29"/>
      <c r="E55" s="29"/>
      <c r="F55" s="29"/>
      <c r="G55" s="29"/>
      <c r="H55" s="29"/>
      <c r="I55" s="29"/>
      <c r="J55" s="77">
        <v>0</v>
      </c>
    </row>
    <row r="56" spans="1:10" x14ac:dyDescent="0.25">
      <c r="A56" s="221"/>
      <c r="B56" s="75" t="s">
        <v>95</v>
      </c>
      <c r="C56" s="29">
        <v>0</v>
      </c>
      <c r="D56" s="29"/>
      <c r="E56" s="29"/>
      <c r="F56" s="29"/>
      <c r="G56" s="29"/>
      <c r="H56" s="29"/>
      <c r="I56" s="29"/>
      <c r="J56" s="77">
        <v>0</v>
      </c>
    </row>
    <row r="57" spans="1:10" x14ac:dyDescent="0.25">
      <c r="A57" s="215" t="s">
        <v>32</v>
      </c>
      <c r="B57" s="82" t="s">
        <v>107</v>
      </c>
      <c r="C57" s="19">
        <v>0.18556363109158414</v>
      </c>
      <c r="D57" s="84"/>
      <c r="E57" s="84"/>
      <c r="F57" s="84"/>
      <c r="G57" s="84"/>
      <c r="H57" s="84"/>
      <c r="I57" s="84"/>
      <c r="J57" s="19">
        <v>0.7068965517241379</v>
      </c>
    </row>
    <row r="58" spans="1:10" x14ac:dyDescent="0.25">
      <c r="A58" s="215"/>
      <c r="B58" s="78" t="s">
        <v>108</v>
      </c>
      <c r="C58" s="19">
        <v>0.14774869043941979</v>
      </c>
      <c r="D58" s="84"/>
      <c r="E58" s="84"/>
      <c r="F58" s="84"/>
      <c r="G58" s="84"/>
      <c r="H58" s="84"/>
      <c r="I58" s="84"/>
      <c r="J58" s="19">
        <v>0.13793103448275862</v>
      </c>
    </row>
    <row r="59" spans="1:10" x14ac:dyDescent="0.25">
      <c r="A59" s="215"/>
      <c r="B59" s="82" t="s">
        <v>93</v>
      </c>
      <c r="C59" s="19">
        <v>0.32003076127861019</v>
      </c>
      <c r="D59" s="84"/>
      <c r="E59" s="84"/>
      <c r="F59" s="84"/>
      <c r="G59" s="84"/>
      <c r="H59" s="84"/>
      <c r="I59" s="84"/>
      <c r="J59" s="19">
        <v>0.12931034482758622</v>
      </c>
    </row>
    <row r="60" spans="1:10" x14ac:dyDescent="0.25">
      <c r="A60" s="215"/>
      <c r="B60" s="82" t="s">
        <v>109</v>
      </c>
      <c r="C60" s="19">
        <v>0.21181157456143113</v>
      </c>
      <c r="D60" s="84"/>
      <c r="E60" s="84"/>
      <c r="F60" s="84"/>
      <c r="G60" s="84"/>
      <c r="H60" s="84"/>
      <c r="I60" s="84"/>
      <c r="J60" s="19">
        <v>1.7241379310344827E-2</v>
      </c>
    </row>
    <row r="61" spans="1:10" x14ac:dyDescent="0.25">
      <c r="A61" s="215"/>
      <c r="B61" s="82" t="s">
        <v>95</v>
      </c>
      <c r="C61" s="19">
        <v>0.13484534262895467</v>
      </c>
      <c r="D61" s="84"/>
      <c r="E61" s="84"/>
      <c r="F61" s="84"/>
      <c r="G61" s="84"/>
      <c r="H61" s="84"/>
      <c r="I61" s="84"/>
      <c r="J61" s="19">
        <v>8.6206896551724137E-3</v>
      </c>
    </row>
  </sheetData>
  <mergeCells count="6">
    <mergeCell ref="AB3:AC3"/>
    <mergeCell ref="A57:A61"/>
    <mergeCell ref="A52:A56"/>
    <mergeCell ref="A47:A51"/>
    <mergeCell ref="A3:B3"/>
    <mergeCell ref="C3:D3"/>
  </mergeCells>
  <hyperlinks>
    <hyperlink ref="C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9" workbookViewId="0">
      <selection activeCell="C26" sqref="C26"/>
    </sheetView>
  </sheetViews>
  <sheetFormatPr baseColWidth="10" defaultRowHeight="15" x14ac:dyDescent="0.25"/>
  <cols>
    <col min="1" max="1" width="16.140625" customWidth="1"/>
    <col min="2" max="2" width="14.140625" customWidth="1"/>
    <col min="3" max="3" width="17.28515625" customWidth="1"/>
    <col min="4" max="4" width="12.5703125" customWidth="1"/>
  </cols>
  <sheetData>
    <row r="1" spans="1:6" x14ac:dyDescent="0.25">
      <c r="C1" s="30" t="s">
        <v>51</v>
      </c>
      <c r="D1" s="182" t="s">
        <v>52</v>
      </c>
      <c r="E1" s="30" t="s">
        <v>159</v>
      </c>
      <c r="F1" t="s">
        <v>158</v>
      </c>
    </row>
    <row r="2" spans="1:6" x14ac:dyDescent="0.25">
      <c r="F2" t="s">
        <v>189</v>
      </c>
    </row>
    <row r="3" spans="1:6" ht="21" x14ac:dyDescent="0.25">
      <c r="A3" s="222" t="s">
        <v>119</v>
      </c>
      <c r="B3" s="222"/>
    </row>
    <row r="4" spans="1:6" x14ac:dyDescent="0.25">
      <c r="A4" s="136" t="s">
        <v>101</v>
      </c>
      <c r="B4" s="136" t="s">
        <v>104</v>
      </c>
      <c r="C4" s="136" t="s">
        <v>102</v>
      </c>
      <c r="D4" s="136" t="s">
        <v>103</v>
      </c>
    </row>
    <row r="5" spans="1:6" x14ac:dyDescent="0.25">
      <c r="A5" s="171" t="s">
        <v>3</v>
      </c>
      <c r="B5" s="226" t="s">
        <v>120</v>
      </c>
      <c r="C5" s="171" t="s">
        <v>121</v>
      </c>
      <c r="D5" s="10">
        <v>9504.3900000000012</v>
      </c>
      <c r="E5" s="113">
        <f>D5/$D$13</f>
        <v>8.867391199083513E-2</v>
      </c>
    </row>
    <row r="6" spans="1:6" x14ac:dyDescent="0.25">
      <c r="A6" s="171" t="s">
        <v>3</v>
      </c>
      <c r="B6" s="227"/>
      <c r="C6" s="171" t="s">
        <v>122</v>
      </c>
      <c r="D6" s="10">
        <v>19631.280000000039</v>
      </c>
      <c r="E6" s="113">
        <f t="shared" ref="E6:E12" si="0">D6/$D$13</f>
        <v>0.18315561493030538</v>
      </c>
    </row>
    <row r="7" spans="1:6" x14ac:dyDescent="0.25">
      <c r="A7" s="171" t="s">
        <v>3</v>
      </c>
      <c r="B7" s="226" t="s">
        <v>123</v>
      </c>
      <c r="C7" s="171" t="s">
        <v>121</v>
      </c>
      <c r="D7" s="10">
        <v>4218.7599999999948</v>
      </c>
      <c r="E7" s="113">
        <f t="shared" si="0"/>
        <v>3.9360122317208687E-2</v>
      </c>
    </row>
    <row r="8" spans="1:6" x14ac:dyDescent="0.25">
      <c r="A8" s="171" t="s">
        <v>3</v>
      </c>
      <c r="B8" s="228"/>
      <c r="C8" s="171" t="s">
        <v>122</v>
      </c>
      <c r="D8" s="10">
        <v>39254.930000000015</v>
      </c>
      <c r="E8" s="113">
        <f t="shared" si="0"/>
        <v>0.36624004360368151</v>
      </c>
    </row>
    <row r="9" spans="1:6" x14ac:dyDescent="0.25">
      <c r="A9" s="171" t="s">
        <v>3</v>
      </c>
      <c r="B9" s="227"/>
      <c r="C9" s="171" t="s">
        <v>124</v>
      </c>
      <c r="D9" s="10">
        <v>29900.560000000019</v>
      </c>
      <c r="E9" s="113">
        <f t="shared" si="0"/>
        <v>0.27896578590700577</v>
      </c>
    </row>
    <row r="10" spans="1:6" x14ac:dyDescent="0.25">
      <c r="A10" s="171" t="s">
        <v>3</v>
      </c>
      <c r="B10" s="173" t="s">
        <v>125</v>
      </c>
      <c r="C10" s="171" t="s">
        <v>121</v>
      </c>
      <c r="D10" s="10">
        <v>983.64999999999975</v>
      </c>
      <c r="E10" s="113">
        <f t="shared" si="0"/>
        <v>9.1772426773085846E-3</v>
      </c>
    </row>
    <row r="11" spans="1:6" x14ac:dyDescent="0.25">
      <c r="A11" s="171" t="s">
        <v>3</v>
      </c>
      <c r="B11" s="224" t="s">
        <v>126</v>
      </c>
      <c r="C11" s="225"/>
      <c r="D11" s="10">
        <v>3645.6099999999992</v>
      </c>
      <c r="E11" s="113">
        <f t="shared" si="0"/>
        <v>3.4012756241369339E-2</v>
      </c>
    </row>
    <row r="12" spans="1:6" x14ac:dyDescent="0.25">
      <c r="A12" s="171" t="s">
        <v>3</v>
      </c>
      <c r="B12" s="224" t="s">
        <v>127</v>
      </c>
      <c r="C12" s="225"/>
      <c r="D12" s="10">
        <v>44.43</v>
      </c>
      <c r="E12" s="88">
        <f t="shared" si="0"/>
        <v>4.145223322856916E-4</v>
      </c>
    </row>
    <row r="13" spans="1:6" x14ac:dyDescent="0.25">
      <c r="A13" s="171" t="s">
        <v>3</v>
      </c>
      <c r="B13" s="223" t="s">
        <v>128</v>
      </c>
      <c r="C13" s="223"/>
      <c r="D13" s="10">
        <f>SUM(D5:D12)</f>
        <v>107183.61000000006</v>
      </c>
    </row>
    <row r="15" spans="1:6" x14ac:dyDescent="0.25">
      <c r="A15" s="81"/>
      <c r="B15" s="81" t="s">
        <v>215</v>
      </c>
      <c r="C15" s="192">
        <f>D5+D6</f>
        <v>29135.670000000042</v>
      </c>
      <c r="D15" s="18">
        <f>C15/D13</f>
        <v>0.27182952692114054</v>
      </c>
    </row>
    <row r="16" spans="1:6" x14ac:dyDescent="0.25">
      <c r="A16" s="81"/>
      <c r="B16" s="171" t="s">
        <v>121</v>
      </c>
      <c r="C16" s="193">
        <f>D5/C15</f>
        <v>0.32621147891913888</v>
      </c>
    </row>
    <row r="17" spans="1:4" x14ac:dyDescent="0.25">
      <c r="A17" s="81"/>
      <c r="B17" s="171" t="s">
        <v>122</v>
      </c>
      <c r="C17" s="193">
        <f>D6/C15</f>
        <v>0.67378852108086107</v>
      </c>
    </row>
    <row r="18" spans="1:4" x14ac:dyDescent="0.25">
      <c r="B18" t="s">
        <v>216</v>
      </c>
      <c r="C18" s="131">
        <f>SUM(D7:D9)</f>
        <v>73374.250000000029</v>
      </c>
      <c r="D18" s="18">
        <f>C18/D13</f>
        <v>0.68456595182789592</v>
      </c>
    </row>
    <row r="19" spans="1:4" x14ac:dyDescent="0.25">
      <c r="B19" s="171" t="s">
        <v>121</v>
      </c>
      <c r="C19" s="18">
        <f>D7/C$18</f>
        <v>5.7496465040528431E-2</v>
      </c>
    </row>
    <row r="20" spans="1:4" x14ac:dyDescent="0.25">
      <c r="B20" s="171" t="s">
        <v>122</v>
      </c>
      <c r="C20" s="18">
        <f t="shared" ref="C20:C21" si="1">D8/C$18</f>
        <v>0.53499599655192387</v>
      </c>
    </row>
    <row r="21" spans="1:4" x14ac:dyDescent="0.25">
      <c r="B21" s="171" t="s">
        <v>124</v>
      </c>
      <c r="C21" s="18">
        <f t="shared" si="1"/>
        <v>0.40750753840754772</v>
      </c>
    </row>
    <row r="23" spans="1:4" x14ac:dyDescent="0.25">
      <c r="B23" s="171" t="s">
        <v>121</v>
      </c>
      <c r="C23" s="131">
        <f>D5+D7+D10</f>
        <v>14706.799999999996</v>
      </c>
      <c r="D23" s="18">
        <f>C23/C$26</f>
        <v>0.14210351425697254</v>
      </c>
    </row>
    <row r="24" spans="1:4" x14ac:dyDescent="0.25">
      <c r="B24" s="171" t="s">
        <v>122</v>
      </c>
      <c r="C24" s="131">
        <f>D6+D8</f>
        <v>58886.21000000005</v>
      </c>
      <c r="D24" s="18">
        <f t="shared" ref="D24:D26" si="2">C24/C$26</f>
        <v>0.56898423737822568</v>
      </c>
    </row>
    <row r="25" spans="1:4" x14ac:dyDescent="0.25">
      <c r="B25" s="171" t="s">
        <v>124</v>
      </c>
      <c r="C25" s="131">
        <f>D9</f>
        <v>29900.560000000019</v>
      </c>
      <c r="D25" s="18">
        <f t="shared" si="2"/>
        <v>0.28891224836480178</v>
      </c>
    </row>
    <row r="26" spans="1:4" x14ac:dyDescent="0.25">
      <c r="C26" s="131">
        <f>SUM(C23:C25)</f>
        <v>103493.57000000007</v>
      </c>
      <c r="D26" s="18">
        <f t="shared" si="2"/>
        <v>1</v>
      </c>
    </row>
  </sheetData>
  <mergeCells count="6">
    <mergeCell ref="A3:B3"/>
    <mergeCell ref="B13:C13"/>
    <mergeCell ref="B11:C11"/>
    <mergeCell ref="B12:C12"/>
    <mergeCell ref="B5:B6"/>
    <mergeCell ref="B7:B9"/>
  </mergeCells>
  <hyperlinks>
    <hyperlink ref="D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/>
  </sheetViews>
  <sheetFormatPr baseColWidth="10" defaultRowHeight="15" x14ac:dyDescent="0.25"/>
  <cols>
    <col min="1" max="1" width="18.5703125" customWidth="1"/>
    <col min="2" max="2" width="19.42578125" customWidth="1"/>
    <col min="3" max="3" width="14.42578125" customWidth="1"/>
    <col min="5" max="5" width="12" bestFit="1" customWidth="1"/>
  </cols>
  <sheetData>
    <row r="1" spans="1:7" x14ac:dyDescent="0.25">
      <c r="D1" s="30" t="s">
        <v>51</v>
      </c>
      <c r="E1" s="182" t="s">
        <v>52</v>
      </c>
      <c r="F1" s="30" t="s">
        <v>159</v>
      </c>
      <c r="G1" t="s">
        <v>158</v>
      </c>
    </row>
    <row r="2" spans="1:7" x14ac:dyDescent="0.25">
      <c r="G2" t="s">
        <v>189</v>
      </c>
    </row>
    <row r="3" spans="1:7" ht="21" x14ac:dyDescent="0.25">
      <c r="A3" s="229" t="s">
        <v>129</v>
      </c>
      <c r="B3" s="229"/>
      <c r="C3" s="229"/>
      <c r="E3" s="31"/>
    </row>
    <row r="4" spans="1:7" x14ac:dyDescent="0.25">
      <c r="A4" s="136" t="s">
        <v>101</v>
      </c>
      <c r="B4" s="136" t="s">
        <v>104</v>
      </c>
      <c r="C4" s="136" t="s">
        <v>102</v>
      </c>
      <c r="D4" s="136" t="s">
        <v>103</v>
      </c>
    </row>
    <row r="5" spans="1:7" x14ac:dyDescent="0.25">
      <c r="A5" s="174" t="s">
        <v>133</v>
      </c>
      <c r="B5" s="175" t="s">
        <v>120</v>
      </c>
      <c r="C5" s="174" t="s">
        <v>121</v>
      </c>
      <c r="D5" s="10">
        <v>7.5500000000000016</v>
      </c>
      <c r="E5" s="88">
        <f>D5/$D$18</f>
        <v>9.5581876511507139E-5</v>
      </c>
    </row>
    <row r="6" spans="1:7" x14ac:dyDescent="0.25">
      <c r="A6" s="174" t="s">
        <v>133</v>
      </c>
      <c r="B6" s="230" t="s">
        <v>134</v>
      </c>
      <c r="C6" s="176" t="s">
        <v>135</v>
      </c>
      <c r="D6" s="10">
        <v>2891.1499999999996</v>
      </c>
      <c r="E6" s="198">
        <f t="shared" ref="E6:E17" si="0">D6/$D$18</f>
        <v>3.6601528778310431E-2</v>
      </c>
    </row>
    <row r="7" spans="1:7" x14ac:dyDescent="0.25">
      <c r="A7" s="174" t="s">
        <v>133</v>
      </c>
      <c r="B7" s="231"/>
      <c r="C7" s="177" t="s">
        <v>124</v>
      </c>
      <c r="D7" s="10">
        <v>9586.69</v>
      </c>
      <c r="E7" s="198">
        <f t="shared" si="0"/>
        <v>0.12136606883895366</v>
      </c>
    </row>
    <row r="8" spans="1:7" x14ac:dyDescent="0.25">
      <c r="A8" s="174" t="s">
        <v>133</v>
      </c>
      <c r="B8" s="231"/>
      <c r="C8" s="176" t="s">
        <v>121</v>
      </c>
      <c r="D8" s="10">
        <v>27708.649999999998</v>
      </c>
      <c r="E8" s="198">
        <f t="shared" si="0"/>
        <v>0.35078738577491014</v>
      </c>
    </row>
    <row r="9" spans="1:7" x14ac:dyDescent="0.25">
      <c r="A9" s="174" t="s">
        <v>133</v>
      </c>
      <c r="B9" s="232"/>
      <c r="C9" s="176" t="s">
        <v>122</v>
      </c>
      <c r="D9" s="10">
        <v>2322.3399999999997</v>
      </c>
      <c r="E9" s="198">
        <f t="shared" si="0"/>
        <v>2.9400478820891841E-2</v>
      </c>
    </row>
    <row r="10" spans="1:7" x14ac:dyDescent="0.25">
      <c r="A10" s="174" t="s">
        <v>133</v>
      </c>
      <c r="B10" s="175" t="s">
        <v>136</v>
      </c>
      <c r="C10" s="176" t="s">
        <v>121</v>
      </c>
      <c r="D10" s="10">
        <v>4942.8300000000072</v>
      </c>
      <c r="E10" s="198">
        <f t="shared" si="0"/>
        <v>6.2575492275148789E-2</v>
      </c>
    </row>
    <row r="11" spans="1:7" x14ac:dyDescent="0.25">
      <c r="A11" s="174" t="s">
        <v>133</v>
      </c>
      <c r="B11" s="231" t="s">
        <v>138</v>
      </c>
      <c r="C11" s="171" t="s">
        <v>124</v>
      </c>
      <c r="D11" s="10">
        <v>45.959999999999994</v>
      </c>
      <c r="E11" s="88">
        <f t="shared" si="0"/>
        <v>5.8184676085680346E-4</v>
      </c>
    </row>
    <row r="12" spans="1:7" x14ac:dyDescent="0.25">
      <c r="A12" s="174" t="s">
        <v>133</v>
      </c>
      <c r="B12" s="231"/>
      <c r="C12" s="171" t="s">
        <v>121</v>
      </c>
      <c r="D12" s="10">
        <v>13753.550000000005</v>
      </c>
      <c r="E12" s="198">
        <f t="shared" si="0"/>
        <v>0.1741178963834224</v>
      </c>
    </row>
    <row r="13" spans="1:7" x14ac:dyDescent="0.25">
      <c r="A13" s="174" t="s">
        <v>133</v>
      </c>
      <c r="B13" s="232"/>
      <c r="C13" s="171" t="s">
        <v>122</v>
      </c>
      <c r="D13" s="10">
        <v>5586.7999999999984</v>
      </c>
      <c r="E13" s="198">
        <f t="shared" si="0"/>
        <v>7.0728056648276527E-2</v>
      </c>
    </row>
    <row r="14" spans="1:7" x14ac:dyDescent="0.25">
      <c r="A14" s="174" t="s">
        <v>133</v>
      </c>
      <c r="B14" s="230" t="s">
        <v>137</v>
      </c>
      <c r="C14" s="171" t="s">
        <v>135</v>
      </c>
      <c r="D14" s="10">
        <v>513.63999999999987</v>
      </c>
      <c r="E14" s="198">
        <f t="shared" si="0"/>
        <v>6.5026059670689404E-3</v>
      </c>
    </row>
    <row r="15" spans="1:7" x14ac:dyDescent="0.25">
      <c r="A15" s="174" t="s">
        <v>133</v>
      </c>
      <c r="B15" s="231"/>
      <c r="C15" s="171" t="s">
        <v>124</v>
      </c>
      <c r="D15" s="10">
        <v>1588.7499999999993</v>
      </c>
      <c r="E15" s="198">
        <f t="shared" si="0"/>
        <v>2.0113338583795611E-2</v>
      </c>
    </row>
    <row r="16" spans="1:7" x14ac:dyDescent="0.25">
      <c r="A16" s="174" t="s">
        <v>133</v>
      </c>
      <c r="B16" s="232"/>
      <c r="C16" s="171" t="s">
        <v>121</v>
      </c>
      <c r="D16" s="10">
        <v>2159.5100000000007</v>
      </c>
      <c r="E16" s="198">
        <f t="shared" si="0"/>
        <v>2.7339075251041695E-2</v>
      </c>
    </row>
    <row r="17" spans="1:5" x14ac:dyDescent="0.25">
      <c r="A17" s="174" t="s">
        <v>133</v>
      </c>
      <c r="B17" s="223" t="s">
        <v>126</v>
      </c>
      <c r="C17" s="223"/>
      <c r="D17" s="10">
        <f>7854.58+27.87</f>
        <v>7882.45</v>
      </c>
      <c r="E17" s="198">
        <f t="shared" si="0"/>
        <v>9.9790644040811824E-2</v>
      </c>
    </row>
    <row r="18" spans="1:5" x14ac:dyDescent="0.25">
      <c r="A18" s="174" t="s">
        <v>133</v>
      </c>
      <c r="B18" s="223" t="s">
        <v>128</v>
      </c>
      <c r="C18" s="223"/>
      <c r="D18" s="10">
        <f>SUM(D5:D17)</f>
        <v>78989.87</v>
      </c>
    </row>
    <row r="21" spans="1:5" x14ac:dyDescent="0.25">
      <c r="B21" s="171" t="s">
        <v>134</v>
      </c>
      <c r="C21" s="101">
        <f>SUM(D6:D9)</f>
        <v>42508.829999999994</v>
      </c>
    </row>
    <row r="22" spans="1:5" x14ac:dyDescent="0.25">
      <c r="B22" s="171" t="s">
        <v>136</v>
      </c>
      <c r="C22" s="101">
        <f>D10</f>
        <v>4942.8300000000072</v>
      </c>
    </row>
    <row r="23" spans="1:5" x14ac:dyDescent="0.25">
      <c r="B23" s="171" t="s">
        <v>138</v>
      </c>
      <c r="C23" s="101">
        <f>SUM(D11:D13)</f>
        <v>19386.310000000001</v>
      </c>
    </row>
    <row r="24" spans="1:5" x14ac:dyDescent="0.25">
      <c r="B24" s="171" t="s">
        <v>137</v>
      </c>
      <c r="C24" s="101">
        <f>SUM(D14:D16)</f>
        <v>4261.8999999999996</v>
      </c>
      <c r="D24" s="131">
        <f>SUM(C21:C24)</f>
        <v>71099.87</v>
      </c>
    </row>
    <row r="25" spans="1:5" x14ac:dyDescent="0.25">
      <c r="C25" t="s">
        <v>221</v>
      </c>
    </row>
    <row r="26" spans="1:5" x14ac:dyDescent="0.25">
      <c r="A26" s="81" t="s">
        <v>217</v>
      </c>
      <c r="B26" s="192">
        <f>SUM(D6:D9)</f>
        <v>42508.829999999994</v>
      </c>
      <c r="C26" s="18">
        <f>B26/D18</f>
        <v>0.53815546221306598</v>
      </c>
    </row>
    <row r="27" spans="1:5" x14ac:dyDescent="0.25">
      <c r="A27" s="176" t="s">
        <v>135</v>
      </c>
      <c r="B27" s="195">
        <f>D6</f>
        <v>2891.1499999999996</v>
      </c>
    </row>
    <row r="28" spans="1:5" x14ac:dyDescent="0.25">
      <c r="A28" s="177" t="s">
        <v>124</v>
      </c>
      <c r="B28" s="195">
        <f t="shared" ref="B28:B30" si="1">D7</f>
        <v>9586.69</v>
      </c>
    </row>
    <row r="29" spans="1:5" x14ac:dyDescent="0.25">
      <c r="A29" s="176" t="s">
        <v>121</v>
      </c>
      <c r="B29" s="195">
        <f t="shared" si="1"/>
        <v>27708.649999999998</v>
      </c>
      <c r="C29" s="196"/>
    </row>
    <row r="30" spans="1:5" x14ac:dyDescent="0.25">
      <c r="A30" s="176" t="s">
        <v>122</v>
      </c>
      <c r="B30" s="195">
        <f t="shared" si="1"/>
        <v>2322.3399999999997</v>
      </c>
    </row>
    <row r="31" spans="1:5" x14ac:dyDescent="0.25">
      <c r="A31" t="s">
        <v>218</v>
      </c>
      <c r="B31" s="131">
        <f>D10</f>
        <v>4942.8300000000072</v>
      </c>
      <c r="C31" s="18">
        <f>B31/D18</f>
        <v>6.2575492275148789E-2</v>
      </c>
    </row>
    <row r="32" spans="1:5" x14ac:dyDescent="0.25">
      <c r="A32" s="171" t="s">
        <v>121</v>
      </c>
      <c r="B32" s="131">
        <f>D10</f>
        <v>4942.8300000000072</v>
      </c>
    </row>
    <row r="33" spans="1:4" x14ac:dyDescent="0.25">
      <c r="A33" t="s">
        <v>219</v>
      </c>
      <c r="B33" s="131">
        <f>SUM(D11:D13)</f>
        <v>19386.310000000001</v>
      </c>
      <c r="C33" s="18">
        <f>B33/D18</f>
        <v>0.24542779979255572</v>
      </c>
    </row>
    <row r="34" spans="1:4" x14ac:dyDescent="0.25">
      <c r="A34" s="171" t="s">
        <v>124</v>
      </c>
      <c r="B34" s="131">
        <f>D11</f>
        <v>45.959999999999994</v>
      </c>
      <c r="C34" s="18"/>
    </row>
    <row r="35" spans="1:4" x14ac:dyDescent="0.25">
      <c r="A35" s="171" t="s">
        <v>121</v>
      </c>
      <c r="B35" s="131">
        <f t="shared" ref="B35:B36" si="2">D12</f>
        <v>13753.550000000005</v>
      </c>
      <c r="C35" s="18"/>
    </row>
    <row r="36" spans="1:4" x14ac:dyDescent="0.25">
      <c r="A36" s="171" t="s">
        <v>122</v>
      </c>
      <c r="B36" s="131">
        <f t="shared" si="2"/>
        <v>5586.7999999999984</v>
      </c>
      <c r="C36" s="18"/>
    </row>
    <row r="37" spans="1:4" x14ac:dyDescent="0.25">
      <c r="A37" s="194" t="s">
        <v>220</v>
      </c>
      <c r="B37" s="131">
        <f>SUM(D14:D16)</f>
        <v>4261.8999999999996</v>
      </c>
      <c r="C37" s="18">
        <f>B37/D18</f>
        <v>5.3955019801906243E-2</v>
      </c>
    </row>
    <row r="38" spans="1:4" x14ac:dyDescent="0.25">
      <c r="A38" s="171" t="s">
        <v>135</v>
      </c>
      <c r="B38" s="131">
        <f>D14</f>
        <v>513.63999999999987</v>
      </c>
      <c r="C38" s="18"/>
    </row>
    <row r="39" spans="1:4" x14ac:dyDescent="0.25">
      <c r="A39" s="171" t="s">
        <v>124</v>
      </c>
      <c r="B39" s="131">
        <f t="shared" ref="B39:B40" si="3">D15</f>
        <v>1588.7499999999993</v>
      </c>
      <c r="C39" s="18"/>
    </row>
    <row r="40" spans="1:4" x14ac:dyDescent="0.25">
      <c r="A40" s="171" t="s">
        <v>121</v>
      </c>
      <c r="B40" s="131">
        <f t="shared" si="3"/>
        <v>2159.5100000000007</v>
      </c>
      <c r="C40" s="18"/>
    </row>
    <row r="42" spans="1:4" x14ac:dyDescent="0.25">
      <c r="A42" s="171" t="s">
        <v>135</v>
      </c>
      <c r="B42" s="196">
        <f>B27+B38</f>
        <v>3404.7899999999995</v>
      </c>
      <c r="C42" s="18">
        <f>B42/B$46</f>
        <v>4.7887429330039546E-2</v>
      </c>
    </row>
    <row r="43" spans="1:4" x14ac:dyDescent="0.25">
      <c r="A43" s="171" t="s">
        <v>124</v>
      </c>
      <c r="B43" s="196">
        <f>B28+B34+B39</f>
        <v>11221.4</v>
      </c>
      <c r="C43" s="18">
        <f t="shared" ref="C43:C46" si="4">B43/B$46</f>
        <v>0.15782588632018593</v>
      </c>
    </row>
    <row r="44" spans="1:4" x14ac:dyDescent="0.25">
      <c r="A44" s="171" t="s">
        <v>121</v>
      </c>
      <c r="B44" s="196">
        <f>B29+B32+B35+B40</f>
        <v>48564.540000000008</v>
      </c>
      <c r="C44" s="18">
        <f t="shared" si="4"/>
        <v>0.68304681851035731</v>
      </c>
      <c r="D44" s="18">
        <f>B29/B44</f>
        <v>0.57055312374007849</v>
      </c>
    </row>
    <row r="45" spans="1:4" x14ac:dyDescent="0.25">
      <c r="A45" s="176" t="s">
        <v>122</v>
      </c>
      <c r="B45" s="196">
        <f>B30+B36</f>
        <v>7909.1399999999976</v>
      </c>
      <c r="C45" s="18">
        <f t="shared" si="4"/>
        <v>0.1112398658394171</v>
      </c>
    </row>
    <row r="46" spans="1:4" x14ac:dyDescent="0.25">
      <c r="B46" s="196">
        <f>SUM(B42:B45)</f>
        <v>71099.87000000001</v>
      </c>
      <c r="C46" s="18">
        <f t="shared" si="4"/>
        <v>1</v>
      </c>
    </row>
    <row r="47" spans="1:4" x14ac:dyDescent="0.25">
      <c r="B47" s="131"/>
    </row>
  </sheetData>
  <mergeCells count="6">
    <mergeCell ref="A3:C3"/>
    <mergeCell ref="B17:C17"/>
    <mergeCell ref="B18:C18"/>
    <mergeCell ref="B6:B9"/>
    <mergeCell ref="B11:B13"/>
    <mergeCell ref="B14:B16"/>
  </mergeCells>
  <hyperlinks>
    <hyperlink ref="E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2" sqref="B12"/>
    </sheetView>
  </sheetViews>
  <sheetFormatPr baseColWidth="10" defaultRowHeight="15" x14ac:dyDescent="0.25"/>
  <cols>
    <col min="1" max="1" width="16.7109375" customWidth="1"/>
    <col min="2" max="2" width="14" customWidth="1"/>
  </cols>
  <sheetData>
    <row r="1" spans="1:5" x14ac:dyDescent="0.25">
      <c r="B1" s="30" t="s">
        <v>51</v>
      </c>
      <c r="C1" s="182" t="s">
        <v>52</v>
      </c>
      <c r="D1" s="30" t="s">
        <v>159</v>
      </c>
      <c r="E1" t="s">
        <v>158</v>
      </c>
    </row>
    <row r="2" spans="1:5" x14ac:dyDescent="0.25">
      <c r="E2" t="s">
        <v>189</v>
      </c>
    </row>
    <row r="3" spans="1:5" ht="21" x14ac:dyDescent="0.25">
      <c r="A3" s="233" t="s">
        <v>130</v>
      </c>
      <c r="B3" s="233"/>
      <c r="C3" s="31"/>
    </row>
    <row r="4" spans="1:5" x14ac:dyDescent="0.25">
      <c r="A4" s="71" t="s">
        <v>101</v>
      </c>
      <c r="B4" s="71" t="s">
        <v>102</v>
      </c>
      <c r="C4" s="71" t="s">
        <v>103</v>
      </c>
    </row>
    <row r="5" spans="1:5" x14ac:dyDescent="0.25">
      <c r="A5" s="171" t="s">
        <v>41</v>
      </c>
      <c r="B5" s="171" t="s">
        <v>131</v>
      </c>
      <c r="C5" s="10">
        <v>15696.440000000006</v>
      </c>
      <c r="D5" s="113">
        <f>C5/$C$9</f>
        <v>0.57807472923762238</v>
      </c>
    </row>
    <row r="6" spans="1:5" x14ac:dyDescent="0.25">
      <c r="A6" s="171" t="s">
        <v>41</v>
      </c>
      <c r="B6" s="171" t="s">
        <v>132</v>
      </c>
      <c r="C6" s="10">
        <v>9903.130000000021</v>
      </c>
      <c r="D6" s="113">
        <f t="shared" ref="D6:D8" si="0">C6/$C$9</f>
        <v>0.36471640660907734</v>
      </c>
    </row>
    <row r="7" spans="1:5" x14ac:dyDescent="0.25">
      <c r="A7" s="171" t="s">
        <v>41</v>
      </c>
      <c r="B7" s="178" t="s">
        <v>126</v>
      </c>
      <c r="C7" s="10">
        <v>1550.6099999999979</v>
      </c>
      <c r="D7" s="113">
        <f t="shared" si="0"/>
        <v>5.7106481208678408E-2</v>
      </c>
    </row>
    <row r="8" spans="1:5" x14ac:dyDescent="0.25">
      <c r="A8" s="171" t="s">
        <v>41</v>
      </c>
      <c r="B8" s="178" t="s">
        <v>127</v>
      </c>
      <c r="C8" s="10">
        <v>2.7800000000000002</v>
      </c>
      <c r="D8" s="88">
        <f t="shared" si="0"/>
        <v>1.023829446218754E-4</v>
      </c>
    </row>
    <row r="9" spans="1:5" x14ac:dyDescent="0.25">
      <c r="A9" s="171" t="s">
        <v>41</v>
      </c>
      <c r="B9" s="179" t="s">
        <v>128</v>
      </c>
      <c r="C9" s="10">
        <f>SUM(C5:C8)</f>
        <v>27152.960000000025</v>
      </c>
    </row>
  </sheetData>
  <mergeCells count="1">
    <mergeCell ref="A3:B3"/>
  </mergeCells>
  <hyperlinks>
    <hyperlink ref="C1" r:id="rId1" location="INDICE!A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N34" zoomScaleNormal="100" workbookViewId="0">
      <selection activeCell="J33" sqref="J33"/>
    </sheetView>
  </sheetViews>
  <sheetFormatPr baseColWidth="10" defaultRowHeight="15" x14ac:dyDescent="0.25"/>
  <cols>
    <col min="1" max="1" width="26" customWidth="1"/>
    <col min="4" max="4" width="13.5703125" customWidth="1"/>
    <col min="6" max="6" width="16.42578125" customWidth="1"/>
    <col min="7" max="7" width="16.5703125" customWidth="1"/>
    <col min="8" max="8" width="13.5703125" customWidth="1"/>
    <col min="9" max="9" width="13.85546875" customWidth="1"/>
  </cols>
  <sheetData>
    <row r="1" spans="1:9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9" x14ac:dyDescent="0.25">
      <c r="F2" t="s">
        <v>194</v>
      </c>
    </row>
    <row r="3" spans="1:9" x14ac:dyDescent="0.25">
      <c r="F3" t="s">
        <v>157</v>
      </c>
    </row>
    <row r="4" spans="1:9" x14ac:dyDescent="0.25">
      <c r="F4" t="s">
        <v>193</v>
      </c>
    </row>
    <row r="5" spans="1:9" ht="18.75" x14ac:dyDescent="0.3">
      <c r="A5" s="204" t="s">
        <v>38</v>
      </c>
      <c r="B5" s="204"/>
      <c r="C5" s="204"/>
      <c r="D5" s="204"/>
      <c r="E5" s="204"/>
      <c r="F5" s="204"/>
      <c r="G5" s="204"/>
      <c r="H5" s="30"/>
      <c r="I5" s="31"/>
    </row>
    <row r="6" spans="1:9" ht="31.5" customHeight="1" x14ac:dyDescent="0.25">
      <c r="A6" s="205" t="s">
        <v>0</v>
      </c>
      <c r="B6" s="202" t="s">
        <v>197</v>
      </c>
      <c r="C6" s="207"/>
      <c r="D6" s="208" t="s">
        <v>155</v>
      </c>
      <c r="E6" s="209"/>
      <c r="F6" s="200" t="s">
        <v>198</v>
      </c>
      <c r="G6" s="200"/>
      <c r="H6" s="201" t="s">
        <v>199</v>
      </c>
      <c r="I6" s="201"/>
    </row>
    <row r="7" spans="1:9" x14ac:dyDescent="0.25">
      <c r="A7" s="206"/>
      <c r="B7" s="1">
        <v>2019</v>
      </c>
      <c r="C7" s="2">
        <v>2020</v>
      </c>
      <c r="D7" s="1">
        <v>2019</v>
      </c>
      <c r="E7" s="1">
        <v>2020</v>
      </c>
      <c r="F7" s="2">
        <v>2019</v>
      </c>
      <c r="G7" s="2">
        <v>2020</v>
      </c>
      <c r="H7" s="1" t="s">
        <v>1</v>
      </c>
      <c r="I7" s="3" t="s">
        <v>2</v>
      </c>
    </row>
    <row r="8" spans="1:9" x14ac:dyDescent="0.25">
      <c r="A8" s="8" t="s">
        <v>4</v>
      </c>
      <c r="B8" s="9">
        <v>13556.719999999996</v>
      </c>
      <c r="C8" s="9">
        <v>14076.369999999999</v>
      </c>
      <c r="D8" s="9">
        <f>130+19971</f>
        <v>20101</v>
      </c>
      <c r="E8" s="9">
        <f>145+20357</f>
        <v>20502</v>
      </c>
      <c r="F8" s="103">
        <f>IFERROR(B8/D8,"")</f>
        <v>0.67443012785433543</v>
      </c>
      <c r="G8" s="103">
        <f>IFERROR(C8/E8,"")</f>
        <v>0.68658521119890736</v>
      </c>
      <c r="H8" s="9">
        <f>IFERROR(C8-B8,"")</f>
        <v>519.65000000000327</v>
      </c>
      <c r="I8" s="103">
        <f>IFERROR((C8/B8)-1,"")</f>
        <v>3.8331543323163908E-2</v>
      </c>
    </row>
    <row r="9" spans="1:9" x14ac:dyDescent="0.25">
      <c r="A9" s="6" t="s">
        <v>5</v>
      </c>
      <c r="B9" s="10">
        <v>1884.3499999999988</v>
      </c>
      <c r="C9" s="10">
        <v>1836.4099999999999</v>
      </c>
      <c r="D9" s="10">
        <f>68+2593</f>
        <v>2661</v>
      </c>
      <c r="E9" s="10">
        <f>2595+68</f>
        <v>2663</v>
      </c>
      <c r="F9" s="113">
        <f t="shared" ref="F9:F37" si="0">IFERROR(B9/D9,"")</f>
        <v>0.70813603908305101</v>
      </c>
      <c r="G9" s="113">
        <f t="shared" ref="G9:G37" si="1">IFERROR(C9/E9,"")</f>
        <v>0.68960195268494173</v>
      </c>
      <c r="H9" s="10">
        <f t="shared" ref="H9:H37" si="2">IFERROR(C9-B9,"")</f>
        <v>-47.939999999998918</v>
      </c>
      <c r="I9" s="113">
        <f t="shared" ref="I9:I37" si="3">IFERROR((C9/B9)-1,"")</f>
        <v>-2.5441133547376538E-2</v>
      </c>
    </row>
    <row r="10" spans="1:9" x14ac:dyDescent="0.25">
      <c r="A10" s="6" t="s">
        <v>6</v>
      </c>
      <c r="B10" s="10">
        <v>248.56000000000006</v>
      </c>
      <c r="C10" s="10">
        <v>214.75999999999996</v>
      </c>
      <c r="D10" s="10">
        <v>566</v>
      </c>
      <c r="E10" s="10">
        <v>566</v>
      </c>
      <c r="F10" s="113">
        <f t="shared" si="0"/>
        <v>0.43915194346289765</v>
      </c>
      <c r="G10" s="113">
        <f t="shared" si="1"/>
        <v>0.37943462897526498</v>
      </c>
      <c r="H10" s="10">
        <f t="shared" si="2"/>
        <v>-33.800000000000097</v>
      </c>
      <c r="I10" s="113">
        <f t="shared" si="3"/>
        <v>-0.13598326359832669</v>
      </c>
    </row>
    <row r="11" spans="1:9" x14ac:dyDescent="0.25">
      <c r="A11" s="6" t="s">
        <v>7</v>
      </c>
      <c r="B11" s="10">
        <v>200.99999999999997</v>
      </c>
      <c r="C11" s="10">
        <v>187.42000000000002</v>
      </c>
      <c r="D11" s="10">
        <v>201</v>
      </c>
      <c r="E11" s="10">
        <v>187</v>
      </c>
      <c r="F11" s="113">
        <f t="shared" si="0"/>
        <v>0.99999999999999989</v>
      </c>
      <c r="G11" s="113">
        <f t="shared" si="1"/>
        <v>1.002245989304813</v>
      </c>
      <c r="H11" s="10">
        <f t="shared" si="2"/>
        <v>-13.579999999999956</v>
      </c>
      <c r="I11" s="113">
        <f t="shared" si="3"/>
        <v>-6.7562189054726107E-2</v>
      </c>
    </row>
    <row r="12" spans="1:9" x14ac:dyDescent="0.25">
      <c r="A12" s="6" t="s">
        <v>8</v>
      </c>
      <c r="B12" s="10">
        <v>8.0599999999999987</v>
      </c>
      <c r="C12" s="10">
        <v>6.22</v>
      </c>
      <c r="D12" s="10">
        <f>1+20</f>
        <v>21</v>
      </c>
      <c r="E12" s="10">
        <f>22+1</f>
        <v>23</v>
      </c>
      <c r="F12" s="113">
        <f t="shared" si="0"/>
        <v>0.38380952380952377</v>
      </c>
      <c r="G12" s="113">
        <f t="shared" si="1"/>
        <v>0.27043478260869563</v>
      </c>
      <c r="H12" s="10">
        <f t="shared" si="2"/>
        <v>-1.839999999999999</v>
      </c>
      <c r="I12" s="113">
        <f t="shared" si="3"/>
        <v>-0.22828784119106693</v>
      </c>
    </row>
    <row r="13" spans="1:9" x14ac:dyDescent="0.25">
      <c r="A13" s="6" t="s">
        <v>9</v>
      </c>
      <c r="B13" s="10">
        <v>7669.6499999999969</v>
      </c>
      <c r="C13" s="10">
        <v>8130.19</v>
      </c>
      <c r="D13" s="10">
        <f>45+11689</f>
        <v>11734</v>
      </c>
      <c r="E13" s="10">
        <f>11760+50</f>
        <v>11810</v>
      </c>
      <c r="F13" s="113">
        <f t="shared" si="0"/>
        <v>0.65362621441963498</v>
      </c>
      <c r="G13" s="113">
        <f t="shared" si="1"/>
        <v>0.68841574936494487</v>
      </c>
      <c r="H13" s="10">
        <f t="shared" si="2"/>
        <v>460.54000000000269</v>
      </c>
      <c r="I13" s="113">
        <f t="shared" si="3"/>
        <v>6.0047068640681545E-2</v>
      </c>
    </row>
    <row r="14" spans="1:9" x14ac:dyDescent="0.25">
      <c r="A14" s="6" t="s">
        <v>11</v>
      </c>
      <c r="B14" s="10">
        <v>531.81000000000017</v>
      </c>
      <c r="C14" s="10">
        <v>518.7399999999999</v>
      </c>
      <c r="D14" s="10">
        <f>4+1857</f>
        <v>1861</v>
      </c>
      <c r="E14" s="10">
        <f>10+1980</f>
        <v>1990</v>
      </c>
      <c r="F14" s="113">
        <f t="shared" si="0"/>
        <v>0.28576571735626016</v>
      </c>
      <c r="G14" s="113">
        <f t="shared" si="1"/>
        <v>0.26067336683417081</v>
      </c>
      <c r="H14" s="10">
        <f t="shared" si="2"/>
        <v>-13.070000000000277</v>
      </c>
      <c r="I14" s="113">
        <f t="shared" si="3"/>
        <v>-2.4576446475245484E-2</v>
      </c>
    </row>
    <row r="15" spans="1:9" x14ac:dyDescent="0.25">
      <c r="A15" s="6" t="s">
        <v>12</v>
      </c>
      <c r="B15" s="10">
        <v>3013.2900000000013</v>
      </c>
      <c r="C15" s="10">
        <v>3182.6299999999992</v>
      </c>
      <c r="D15" s="10">
        <f>12+3045</f>
        <v>3057</v>
      </c>
      <c r="E15" s="10">
        <f>16+3247</f>
        <v>3263</v>
      </c>
      <c r="F15" s="113">
        <f t="shared" si="0"/>
        <v>0.98570166830225758</v>
      </c>
      <c r="G15" s="113">
        <f t="shared" si="1"/>
        <v>0.97536929206251888</v>
      </c>
      <c r="H15" s="10">
        <f t="shared" si="2"/>
        <v>169.33999999999787</v>
      </c>
      <c r="I15" s="113">
        <f t="shared" si="3"/>
        <v>5.6197710807787349E-2</v>
      </c>
    </row>
    <row r="16" spans="1:9" x14ac:dyDescent="0.25">
      <c r="A16" s="8" t="s">
        <v>14</v>
      </c>
      <c r="B16" s="9">
        <v>53773.520000000106</v>
      </c>
      <c r="C16" s="9">
        <f>SUM(C17:C19)</f>
        <v>52903.539999999964</v>
      </c>
      <c r="D16" s="9">
        <f>1280+73068</f>
        <v>74348</v>
      </c>
      <c r="E16" s="9">
        <f>1364+71395</f>
        <v>72759</v>
      </c>
      <c r="F16" s="103">
        <f t="shared" si="0"/>
        <v>0.72326787539678417</v>
      </c>
      <c r="G16" s="103">
        <f t="shared" si="1"/>
        <v>0.72710647480036783</v>
      </c>
      <c r="H16" s="9">
        <f t="shared" si="2"/>
        <v>-869.98000000014144</v>
      </c>
      <c r="I16" s="103">
        <f t="shared" si="3"/>
        <v>-1.6178594966447024E-2</v>
      </c>
    </row>
    <row r="17" spans="1:9" x14ac:dyDescent="0.25">
      <c r="A17" s="6" t="s">
        <v>15</v>
      </c>
      <c r="B17" s="10">
        <v>5565.5600000000049</v>
      </c>
      <c r="C17" s="10">
        <v>5401.24</v>
      </c>
      <c r="D17" s="10">
        <f>343+6954</f>
        <v>7297</v>
      </c>
      <c r="E17" s="10">
        <f>7512+252</f>
        <v>7764</v>
      </c>
      <c r="F17" s="113">
        <f t="shared" si="0"/>
        <v>0.76271892558585785</v>
      </c>
      <c r="G17" s="113">
        <f t="shared" si="1"/>
        <v>0.69567748583204536</v>
      </c>
      <c r="H17" s="10">
        <f t="shared" si="2"/>
        <v>-164.32000000000517</v>
      </c>
      <c r="I17" s="113">
        <f t="shared" si="3"/>
        <v>-2.9524432402131096E-2</v>
      </c>
    </row>
    <row r="18" spans="1:9" x14ac:dyDescent="0.25">
      <c r="A18" s="16" t="s">
        <v>16</v>
      </c>
      <c r="B18" s="28">
        <v>20325.970000000019</v>
      </c>
      <c r="C18" s="28">
        <v>19974.209999999955</v>
      </c>
      <c r="D18" s="28">
        <f>274+27421</f>
        <v>27695</v>
      </c>
      <c r="E18" s="28">
        <f>472+27079</f>
        <v>27551</v>
      </c>
      <c r="F18" s="147">
        <f t="shared" si="0"/>
        <v>0.73392200758259685</v>
      </c>
      <c r="G18" s="147">
        <f t="shared" si="1"/>
        <v>0.72499038147435502</v>
      </c>
      <c r="H18" s="28">
        <f t="shared" si="2"/>
        <v>-351.76000000006388</v>
      </c>
      <c r="I18" s="147">
        <f t="shared" si="3"/>
        <v>-1.7305939150754623E-2</v>
      </c>
    </row>
    <row r="19" spans="1:9" x14ac:dyDescent="0.25">
      <c r="A19" s="6" t="s">
        <v>17</v>
      </c>
      <c r="B19" s="10">
        <v>27881.990000000085</v>
      </c>
      <c r="C19" s="10">
        <v>27528.090000000007</v>
      </c>
      <c r="D19" s="10">
        <f>663+38693</f>
        <v>39356</v>
      </c>
      <c r="E19" s="10">
        <f>640+36804</f>
        <v>37444</v>
      </c>
      <c r="F19" s="113">
        <f t="shared" si="0"/>
        <v>0.708455889826204</v>
      </c>
      <c r="G19" s="113">
        <f t="shared" si="1"/>
        <v>0.73518026920200852</v>
      </c>
      <c r="H19" s="10">
        <f t="shared" si="2"/>
        <v>-353.90000000007785</v>
      </c>
      <c r="I19" s="113">
        <f t="shared" si="3"/>
        <v>-1.269278125413853E-2</v>
      </c>
    </row>
    <row r="20" spans="1:9" x14ac:dyDescent="0.25">
      <c r="A20" s="8" t="s">
        <v>39</v>
      </c>
      <c r="B20" s="9"/>
      <c r="C20" s="9">
        <v>0.16</v>
      </c>
      <c r="D20" s="9"/>
      <c r="E20" s="9"/>
      <c r="F20" s="103" t="str">
        <f t="shared" si="0"/>
        <v/>
      </c>
      <c r="G20" s="103" t="str">
        <f t="shared" si="1"/>
        <v/>
      </c>
      <c r="H20" s="9">
        <f t="shared" si="2"/>
        <v>0.16</v>
      </c>
      <c r="I20" s="103" t="str">
        <f t="shared" si="3"/>
        <v/>
      </c>
    </row>
    <row r="21" spans="1:9" x14ac:dyDescent="0.25">
      <c r="A21" s="6" t="s">
        <v>40</v>
      </c>
      <c r="B21" s="10"/>
      <c r="C21" s="10">
        <v>0.16</v>
      </c>
      <c r="D21" s="10"/>
      <c r="E21" s="10"/>
      <c r="F21" s="113" t="str">
        <f t="shared" si="0"/>
        <v/>
      </c>
      <c r="G21" s="113" t="str">
        <f t="shared" si="1"/>
        <v/>
      </c>
      <c r="H21" s="10">
        <f t="shared" si="2"/>
        <v>0.16</v>
      </c>
      <c r="I21" s="113" t="str">
        <f t="shared" si="3"/>
        <v/>
      </c>
    </row>
    <row r="22" spans="1:9" x14ac:dyDescent="0.25">
      <c r="A22" s="8" t="s">
        <v>18</v>
      </c>
      <c r="B22" s="9"/>
      <c r="C22" s="9">
        <v>0.08</v>
      </c>
      <c r="D22" s="9"/>
      <c r="E22" s="9"/>
      <c r="F22" s="103" t="str">
        <f t="shared" si="0"/>
        <v/>
      </c>
      <c r="G22" s="103" t="str">
        <f t="shared" si="1"/>
        <v/>
      </c>
      <c r="H22" s="9">
        <f t="shared" si="2"/>
        <v>0.08</v>
      </c>
      <c r="I22" s="103" t="str">
        <f t="shared" si="3"/>
        <v/>
      </c>
    </row>
    <row r="23" spans="1:9" x14ac:dyDescent="0.25">
      <c r="A23" s="6" t="s">
        <v>18</v>
      </c>
      <c r="B23" s="10"/>
      <c r="C23" s="10">
        <v>0.08</v>
      </c>
      <c r="D23" s="10"/>
      <c r="E23" s="10"/>
      <c r="F23" s="113" t="str">
        <f t="shared" si="0"/>
        <v/>
      </c>
      <c r="G23" s="113" t="str">
        <f t="shared" si="1"/>
        <v/>
      </c>
      <c r="H23" s="10">
        <f t="shared" si="2"/>
        <v>0.08</v>
      </c>
      <c r="I23" s="113" t="str">
        <f t="shared" si="3"/>
        <v/>
      </c>
    </row>
    <row r="24" spans="1:9" x14ac:dyDescent="0.25">
      <c r="A24" s="8" t="s">
        <v>19</v>
      </c>
      <c r="B24" s="9">
        <v>6084.3099999999986</v>
      </c>
      <c r="C24" s="9">
        <f>SUM(C25:C26)</f>
        <v>5981.9499999999989</v>
      </c>
      <c r="D24" s="9">
        <v>6536</v>
      </c>
      <c r="E24" s="9">
        <v>6585</v>
      </c>
      <c r="F24" s="103">
        <f t="shared" si="0"/>
        <v>0.93089198286413688</v>
      </c>
      <c r="G24" s="103">
        <f t="shared" si="1"/>
        <v>0.90842065299924057</v>
      </c>
      <c r="H24" s="9">
        <f t="shared" si="2"/>
        <v>-102.35999999999967</v>
      </c>
      <c r="I24" s="103">
        <f t="shared" si="3"/>
        <v>-1.6823600375391767E-2</v>
      </c>
    </row>
    <row r="25" spans="1:9" x14ac:dyDescent="0.25">
      <c r="A25" s="6" t="s">
        <v>20</v>
      </c>
      <c r="B25" s="10">
        <v>1.37</v>
      </c>
      <c r="C25" s="10">
        <v>1.6099999999999999</v>
      </c>
      <c r="D25" s="10">
        <v>1</v>
      </c>
      <c r="E25" s="10">
        <v>1</v>
      </c>
      <c r="F25" s="113">
        <f t="shared" si="0"/>
        <v>1.37</v>
      </c>
      <c r="G25" s="113">
        <f t="shared" si="1"/>
        <v>1.6099999999999999</v>
      </c>
      <c r="H25" s="10">
        <f t="shared" si="2"/>
        <v>0.23999999999999977</v>
      </c>
      <c r="I25" s="113">
        <f t="shared" si="3"/>
        <v>0.1751824817518246</v>
      </c>
    </row>
    <row r="26" spans="1:9" x14ac:dyDescent="0.25">
      <c r="A26" s="16" t="s">
        <v>22</v>
      </c>
      <c r="B26" s="28">
        <v>6082.9399999999987</v>
      </c>
      <c r="C26" s="28">
        <v>5980.3399999999992</v>
      </c>
      <c r="D26" s="28">
        <v>6535</v>
      </c>
      <c r="E26" s="28">
        <v>6584</v>
      </c>
      <c r="F26" s="147">
        <f t="shared" si="0"/>
        <v>0.930824789594491</v>
      </c>
      <c r="G26" s="147">
        <f t="shared" si="1"/>
        <v>0.90831409477521252</v>
      </c>
      <c r="H26" s="28">
        <f t="shared" si="2"/>
        <v>-102.59999999999945</v>
      </c>
      <c r="I26" s="147">
        <f t="shared" si="3"/>
        <v>-1.6866843993200598E-2</v>
      </c>
    </row>
    <row r="27" spans="1:9" x14ac:dyDescent="0.25">
      <c r="A27" s="8" t="s">
        <v>23</v>
      </c>
      <c r="B27" s="9">
        <v>7.3999999999999995</v>
      </c>
      <c r="C27" s="9">
        <v>7.61</v>
      </c>
      <c r="D27" s="9">
        <v>7</v>
      </c>
      <c r="E27" s="9">
        <v>7</v>
      </c>
      <c r="F27" s="103">
        <f t="shared" si="0"/>
        <v>1.0571428571428572</v>
      </c>
      <c r="G27" s="103">
        <f t="shared" si="1"/>
        <v>1.0871428571428572</v>
      </c>
      <c r="H27" s="9">
        <f t="shared" si="2"/>
        <v>0.21000000000000085</v>
      </c>
      <c r="I27" s="103">
        <f t="shared" si="3"/>
        <v>2.8378378378378422E-2</v>
      </c>
    </row>
    <row r="28" spans="1:9" x14ac:dyDescent="0.25">
      <c r="A28" s="16" t="s">
        <v>24</v>
      </c>
      <c r="B28" s="28">
        <v>6.97</v>
      </c>
      <c r="C28" s="28">
        <v>7.03</v>
      </c>
      <c r="D28" s="28">
        <v>7</v>
      </c>
      <c r="E28" s="28">
        <v>7</v>
      </c>
      <c r="F28" s="147">
        <f t="shared" si="0"/>
        <v>0.99571428571428566</v>
      </c>
      <c r="G28" s="147">
        <f t="shared" si="1"/>
        <v>1.0042857142857142</v>
      </c>
      <c r="H28" s="28">
        <f t="shared" si="2"/>
        <v>6.0000000000000497E-2</v>
      </c>
      <c r="I28" s="147">
        <f t="shared" si="3"/>
        <v>8.6083213773315848E-3</v>
      </c>
    </row>
    <row r="29" spans="1:9" x14ac:dyDescent="0.25">
      <c r="A29" s="6" t="s">
        <v>25</v>
      </c>
      <c r="B29" s="10">
        <v>0.43000000000000005</v>
      </c>
      <c r="C29" s="10">
        <v>0.58000000000000007</v>
      </c>
      <c r="D29" s="10"/>
      <c r="E29" s="10"/>
      <c r="F29" s="113" t="str">
        <f t="shared" si="0"/>
        <v/>
      </c>
      <c r="G29" s="113" t="str">
        <f t="shared" si="1"/>
        <v/>
      </c>
      <c r="H29" s="10">
        <f t="shared" si="2"/>
        <v>0.15000000000000002</v>
      </c>
      <c r="I29" s="113">
        <f t="shared" si="3"/>
        <v>0.34883720930232553</v>
      </c>
    </row>
    <row r="30" spans="1:9" x14ac:dyDescent="0.25">
      <c r="A30" s="8" t="s">
        <v>28</v>
      </c>
      <c r="B30" s="9">
        <v>28.340000000000003</v>
      </c>
      <c r="C30" s="9">
        <v>26.9</v>
      </c>
      <c r="D30" s="9">
        <v>261</v>
      </c>
      <c r="E30" s="9">
        <v>261</v>
      </c>
      <c r="F30" s="103">
        <f t="shared" si="0"/>
        <v>0.10858237547892721</v>
      </c>
      <c r="G30" s="103">
        <f t="shared" si="1"/>
        <v>0.10306513409961686</v>
      </c>
      <c r="H30" s="9">
        <f t="shared" si="2"/>
        <v>-1.4400000000000048</v>
      </c>
      <c r="I30" s="103">
        <f t="shared" si="3"/>
        <v>-5.0811573747353678E-2</v>
      </c>
    </row>
    <row r="31" spans="1:9" x14ac:dyDescent="0.25">
      <c r="A31" s="6" t="s">
        <v>28</v>
      </c>
      <c r="B31" s="10">
        <v>28.340000000000003</v>
      </c>
      <c r="C31" s="10">
        <v>26.9</v>
      </c>
      <c r="D31" s="10">
        <v>261</v>
      </c>
      <c r="E31" s="10">
        <v>261</v>
      </c>
      <c r="F31" s="113">
        <f t="shared" si="0"/>
        <v>0.10858237547892721</v>
      </c>
      <c r="G31" s="113">
        <f t="shared" si="1"/>
        <v>0.10306513409961686</v>
      </c>
      <c r="H31" s="10">
        <f t="shared" si="2"/>
        <v>-1.4400000000000048</v>
      </c>
      <c r="I31" s="113">
        <f t="shared" si="3"/>
        <v>-5.0811573747353678E-2</v>
      </c>
    </row>
    <row r="32" spans="1:9" x14ac:dyDescent="0.25">
      <c r="A32" s="8" t="s">
        <v>29</v>
      </c>
      <c r="B32" s="9"/>
      <c r="C32" s="9">
        <v>16.759999999999998</v>
      </c>
      <c r="D32" s="9">
        <f>3+97</f>
        <v>100</v>
      </c>
      <c r="E32" s="9">
        <f>102+3</f>
        <v>105</v>
      </c>
      <c r="F32" s="103">
        <f t="shared" si="0"/>
        <v>0</v>
      </c>
      <c r="G32" s="103">
        <f t="shared" si="1"/>
        <v>0.1596190476190476</v>
      </c>
      <c r="H32" s="9">
        <f t="shared" si="2"/>
        <v>16.759999999999998</v>
      </c>
      <c r="I32" s="103" t="str">
        <f t="shared" si="3"/>
        <v/>
      </c>
    </row>
    <row r="33" spans="1:9" x14ac:dyDescent="0.25">
      <c r="A33" s="6" t="s">
        <v>30</v>
      </c>
      <c r="B33" s="10"/>
      <c r="C33" s="10">
        <v>10.01</v>
      </c>
      <c r="D33" s="10">
        <v>58</v>
      </c>
      <c r="E33" s="10">
        <v>62</v>
      </c>
      <c r="F33" s="113">
        <f t="shared" si="0"/>
        <v>0</v>
      </c>
      <c r="G33" s="113">
        <f t="shared" si="1"/>
        <v>0.16145161290322579</v>
      </c>
      <c r="H33" s="10">
        <f t="shared" si="2"/>
        <v>10.01</v>
      </c>
      <c r="I33" s="113" t="str">
        <f t="shared" si="3"/>
        <v/>
      </c>
    </row>
    <row r="34" spans="1:9" x14ac:dyDescent="0.25">
      <c r="A34" s="6" t="s">
        <v>31</v>
      </c>
      <c r="B34" s="10"/>
      <c r="C34" s="10">
        <v>6.75</v>
      </c>
      <c r="D34" s="10">
        <f>3+39</f>
        <v>42</v>
      </c>
      <c r="E34" s="10">
        <f>40+3</f>
        <v>43</v>
      </c>
      <c r="F34" s="113">
        <f t="shared" si="0"/>
        <v>0</v>
      </c>
      <c r="G34" s="113">
        <f t="shared" si="1"/>
        <v>0.15697674418604651</v>
      </c>
      <c r="H34" s="10">
        <f t="shared" si="2"/>
        <v>6.75</v>
      </c>
      <c r="I34" s="113" t="str">
        <f t="shared" si="3"/>
        <v/>
      </c>
    </row>
    <row r="35" spans="1:9" x14ac:dyDescent="0.25">
      <c r="A35" s="8" t="s">
        <v>32</v>
      </c>
      <c r="B35" s="9">
        <v>6106.2000000000089</v>
      </c>
      <c r="C35" s="9">
        <v>5976.5000000000009</v>
      </c>
      <c r="D35" s="9">
        <f>49+5643</f>
        <v>5692</v>
      </c>
      <c r="E35" s="9">
        <f>5789+10</f>
        <v>5799</v>
      </c>
      <c r="F35" s="103">
        <f t="shared" si="0"/>
        <v>1.072768798313424</v>
      </c>
      <c r="G35" s="103">
        <f t="shared" si="1"/>
        <v>1.0306087256423524</v>
      </c>
      <c r="H35" s="9">
        <f t="shared" si="2"/>
        <v>-129.700000000008</v>
      </c>
      <c r="I35" s="103">
        <f t="shared" si="3"/>
        <v>-2.1240706167503176E-2</v>
      </c>
    </row>
    <row r="36" spans="1:9" x14ac:dyDescent="0.25">
      <c r="A36" s="16" t="s">
        <v>32</v>
      </c>
      <c r="B36" s="28">
        <v>6106.2000000000089</v>
      </c>
      <c r="C36" s="28">
        <v>5976.5000000000009</v>
      </c>
      <c r="D36" s="28">
        <f>49+5643</f>
        <v>5692</v>
      </c>
      <c r="E36" s="28">
        <f>10+5789</f>
        <v>5799</v>
      </c>
      <c r="F36" s="148">
        <f t="shared" si="0"/>
        <v>1.072768798313424</v>
      </c>
      <c r="G36" s="148">
        <f t="shared" si="1"/>
        <v>1.0306087256423524</v>
      </c>
      <c r="H36" s="28">
        <f t="shared" si="2"/>
        <v>-129.700000000008</v>
      </c>
      <c r="I36" s="148">
        <f t="shared" si="3"/>
        <v>-2.1240706167503176E-2</v>
      </c>
    </row>
    <row r="37" spans="1:9" x14ac:dyDescent="0.25">
      <c r="A37" s="7" t="s">
        <v>33</v>
      </c>
      <c r="B37" s="13">
        <v>79556.490000000093</v>
      </c>
      <c r="C37" s="13">
        <v>78989.869999999981</v>
      </c>
      <c r="D37" s="13">
        <f>1462+105583</f>
        <v>107045</v>
      </c>
      <c r="E37" s="13">
        <f>104496+1522</f>
        <v>106018</v>
      </c>
      <c r="F37" s="149">
        <f t="shared" si="0"/>
        <v>0.74320603484515946</v>
      </c>
      <c r="G37" s="149">
        <f t="shared" si="1"/>
        <v>0.7450609330491047</v>
      </c>
      <c r="H37" s="13">
        <f t="shared" si="2"/>
        <v>-566.62000000011176</v>
      </c>
      <c r="I37" s="149">
        <f t="shared" si="3"/>
        <v>-7.1222347793387097E-3</v>
      </c>
    </row>
    <row r="38" spans="1:9" x14ac:dyDescent="0.25">
      <c r="A38" s="26"/>
      <c r="E38" s="131"/>
    </row>
    <row r="39" spans="1:9" ht="18.75" x14ac:dyDescent="0.3">
      <c r="A39" s="48" t="s">
        <v>141</v>
      </c>
    </row>
    <row r="40" spans="1:9" x14ac:dyDescent="0.25">
      <c r="A40" s="201" t="s">
        <v>0</v>
      </c>
      <c r="B40" s="201" t="s">
        <v>197</v>
      </c>
      <c r="C40" s="201"/>
      <c r="D40" s="201" t="s">
        <v>199</v>
      </c>
      <c r="E40" s="201"/>
    </row>
    <row r="41" spans="1:9" x14ac:dyDescent="0.25">
      <c r="A41" s="201"/>
      <c r="B41" s="91">
        <v>2019</v>
      </c>
      <c r="C41" s="92">
        <v>2020</v>
      </c>
      <c r="D41" s="91" t="s">
        <v>1</v>
      </c>
      <c r="E41" s="3" t="s">
        <v>2</v>
      </c>
    </row>
    <row r="42" spans="1:9" x14ac:dyDescent="0.25">
      <c r="A42" s="8" t="s">
        <v>4</v>
      </c>
      <c r="B42" s="9">
        <v>2528.3599999999997</v>
      </c>
      <c r="C42" s="9">
        <v>2491.0700000000002</v>
      </c>
      <c r="D42" s="9">
        <f>IFERROR(C42-B42,"")</f>
        <v>-37.289999999999509</v>
      </c>
      <c r="E42" s="23">
        <f>IFERROR(((C42/B42)-1),"")</f>
        <v>-1.4748690850986179E-2</v>
      </c>
      <c r="G42" s="131"/>
    </row>
    <row r="43" spans="1:9" x14ac:dyDescent="0.25">
      <c r="A43" s="6" t="s">
        <v>5</v>
      </c>
      <c r="B43" s="10">
        <v>283.56000000000006</v>
      </c>
      <c r="C43" s="10">
        <v>180.87000000000003</v>
      </c>
      <c r="D43" s="10">
        <f t="shared" ref="D43:D63" si="4">IFERROR(C43-B43,"")</f>
        <v>-102.69000000000003</v>
      </c>
      <c r="E43" s="19">
        <f t="shared" ref="E43:E63" si="5">IFERROR(((C43/B43)-1),"")</f>
        <v>-0.36214557765552269</v>
      </c>
    </row>
    <row r="44" spans="1:9" x14ac:dyDescent="0.25">
      <c r="A44" s="6" t="s">
        <v>6</v>
      </c>
      <c r="B44" s="10">
        <v>53.69</v>
      </c>
      <c r="C44" s="10">
        <v>46.129999999999995</v>
      </c>
      <c r="D44" s="10">
        <f t="shared" si="4"/>
        <v>-7.5600000000000023</v>
      </c>
      <c r="E44" s="19">
        <f t="shared" si="5"/>
        <v>-0.14080834419817478</v>
      </c>
    </row>
    <row r="45" spans="1:9" x14ac:dyDescent="0.25">
      <c r="A45" s="6" t="s">
        <v>7</v>
      </c>
      <c r="B45" s="10">
        <v>16.52</v>
      </c>
      <c r="C45" s="10">
        <v>15.28</v>
      </c>
      <c r="D45" s="10">
        <f t="shared" si="4"/>
        <v>-1.2400000000000002</v>
      </c>
      <c r="E45" s="19">
        <f t="shared" si="5"/>
        <v>-7.5060532687651338E-2</v>
      </c>
    </row>
    <row r="46" spans="1:9" x14ac:dyDescent="0.25">
      <c r="A46" s="6" t="s">
        <v>8</v>
      </c>
      <c r="B46" s="10">
        <v>0.63000000000000012</v>
      </c>
      <c r="C46" s="10">
        <v>0.64000000000000012</v>
      </c>
      <c r="D46" s="10">
        <f t="shared" si="4"/>
        <v>1.0000000000000009E-2</v>
      </c>
      <c r="E46" s="19">
        <f t="shared" si="5"/>
        <v>1.5873015873015817E-2</v>
      </c>
    </row>
    <row r="47" spans="1:9" x14ac:dyDescent="0.25">
      <c r="A47" s="6" t="s">
        <v>9</v>
      </c>
      <c r="B47" s="10">
        <v>1712.08</v>
      </c>
      <c r="C47" s="10">
        <v>1809.4900000000002</v>
      </c>
      <c r="D47" s="10">
        <f t="shared" si="4"/>
        <v>97.410000000000309</v>
      </c>
      <c r="E47" s="19">
        <f t="shared" si="5"/>
        <v>5.6895705808140074E-2</v>
      </c>
    </row>
    <row r="48" spans="1:9" x14ac:dyDescent="0.25">
      <c r="A48" s="6" t="s">
        <v>11</v>
      </c>
      <c r="B48" s="10">
        <v>191.25999999999988</v>
      </c>
      <c r="C48" s="10">
        <v>196.5</v>
      </c>
      <c r="D48" s="10">
        <f t="shared" si="4"/>
        <v>5.2400000000001228</v>
      </c>
      <c r="E48" s="19">
        <f t="shared" si="5"/>
        <v>2.7397260273973156E-2</v>
      </c>
    </row>
    <row r="49" spans="1:5" x14ac:dyDescent="0.25">
      <c r="A49" s="6" t="s">
        <v>12</v>
      </c>
      <c r="B49" s="10">
        <v>270.62</v>
      </c>
      <c r="C49" s="10">
        <v>242.16000000000003</v>
      </c>
      <c r="D49" s="10">
        <f t="shared" si="4"/>
        <v>-28.45999999999998</v>
      </c>
      <c r="E49" s="19">
        <f t="shared" si="5"/>
        <v>-0.10516591530559449</v>
      </c>
    </row>
    <row r="50" spans="1:5" x14ac:dyDescent="0.25">
      <c r="A50" s="8" t="s">
        <v>14</v>
      </c>
      <c r="B50" s="9">
        <v>34668.690000000024</v>
      </c>
      <c r="C50" s="9">
        <f>SUM(C51:C53)</f>
        <v>33532.170000000006</v>
      </c>
      <c r="D50" s="9">
        <f t="shared" si="4"/>
        <v>-1136.5200000000186</v>
      </c>
      <c r="E50" s="23">
        <f t="shared" si="5"/>
        <v>-3.2782317416666706E-2</v>
      </c>
    </row>
    <row r="51" spans="1:5" x14ac:dyDescent="0.25">
      <c r="A51" s="6" t="s">
        <v>15</v>
      </c>
      <c r="B51" s="10">
        <v>2135.3099999999986</v>
      </c>
      <c r="C51" s="10">
        <v>2004.0300000000002</v>
      </c>
      <c r="D51" s="10">
        <f t="shared" si="4"/>
        <v>-131.27999999999838</v>
      </c>
      <c r="E51" s="19">
        <f t="shared" si="5"/>
        <v>-6.1480534442305057E-2</v>
      </c>
    </row>
    <row r="52" spans="1:5" x14ac:dyDescent="0.25">
      <c r="A52" s="6" t="s">
        <v>16</v>
      </c>
      <c r="B52" s="10">
        <v>17293.820000000011</v>
      </c>
      <c r="C52" s="10">
        <v>16851.140000000007</v>
      </c>
      <c r="D52" s="10">
        <f t="shared" si="4"/>
        <v>-442.68000000000393</v>
      </c>
      <c r="E52" s="19">
        <f t="shared" si="5"/>
        <v>-2.5597583414190939E-2</v>
      </c>
    </row>
    <row r="53" spans="1:5" x14ac:dyDescent="0.25">
      <c r="A53" s="6" t="s">
        <v>17</v>
      </c>
      <c r="B53" s="10">
        <v>15239.560000000018</v>
      </c>
      <c r="C53" s="10">
        <v>14676.999999999998</v>
      </c>
      <c r="D53" s="10">
        <f t="shared" si="4"/>
        <v>-562.5600000000195</v>
      </c>
      <c r="E53" s="19">
        <f t="shared" si="5"/>
        <v>-3.6914451598341391E-2</v>
      </c>
    </row>
    <row r="54" spans="1:5" x14ac:dyDescent="0.25">
      <c r="A54" s="8" t="s">
        <v>19</v>
      </c>
      <c r="B54" s="9">
        <v>5358.45</v>
      </c>
      <c r="C54" s="9">
        <f>SUM(C55:C56)</f>
        <v>5577.0699999999979</v>
      </c>
      <c r="D54" s="9">
        <f t="shared" si="4"/>
        <v>218.61999999999807</v>
      </c>
      <c r="E54" s="23">
        <f t="shared" si="5"/>
        <v>4.0799111683415656E-2</v>
      </c>
    </row>
    <row r="55" spans="1:5" x14ac:dyDescent="0.25">
      <c r="A55" s="6" t="s">
        <v>20</v>
      </c>
      <c r="B55" s="10">
        <v>1.32</v>
      </c>
      <c r="C55" s="10">
        <v>1.6099999999999999</v>
      </c>
      <c r="D55" s="10">
        <f t="shared" si="4"/>
        <v>0.28999999999999981</v>
      </c>
      <c r="E55" s="19">
        <f t="shared" si="5"/>
        <v>0.2196969696969695</v>
      </c>
    </row>
    <row r="56" spans="1:5" x14ac:dyDescent="0.25">
      <c r="A56" s="6" t="s">
        <v>22</v>
      </c>
      <c r="B56" s="10">
        <v>5357.13</v>
      </c>
      <c r="C56" s="10">
        <v>5575.4599999999982</v>
      </c>
      <c r="D56" s="10">
        <f t="shared" si="4"/>
        <v>218.32999999999811</v>
      </c>
      <c r="E56" s="19">
        <f t="shared" si="5"/>
        <v>4.0755031145407683E-2</v>
      </c>
    </row>
    <row r="57" spans="1:5" x14ac:dyDescent="0.25">
      <c r="A57" s="8" t="s">
        <v>23</v>
      </c>
      <c r="B57" s="11"/>
      <c r="C57" s="11">
        <v>0.1</v>
      </c>
      <c r="D57" s="9">
        <f t="shared" si="4"/>
        <v>0.1</v>
      </c>
      <c r="E57" s="23" t="str">
        <f t="shared" si="5"/>
        <v/>
      </c>
    </row>
    <row r="58" spans="1:5" x14ac:dyDescent="0.25">
      <c r="A58" s="6" t="s">
        <v>25</v>
      </c>
      <c r="B58" s="10"/>
      <c r="C58" s="10">
        <v>0.1</v>
      </c>
      <c r="D58" s="10">
        <f t="shared" si="4"/>
        <v>0.1</v>
      </c>
      <c r="E58" s="19" t="str">
        <f t="shared" si="5"/>
        <v/>
      </c>
    </row>
    <row r="59" spans="1:5" x14ac:dyDescent="0.25">
      <c r="A59" s="8" t="s">
        <v>28</v>
      </c>
      <c r="B59" s="9">
        <v>20.060000000000002</v>
      </c>
      <c r="C59" s="9">
        <v>20.059999999999999</v>
      </c>
      <c r="D59" s="9">
        <f t="shared" si="4"/>
        <v>-3.5527136788005009E-15</v>
      </c>
      <c r="E59" s="23">
        <f t="shared" si="5"/>
        <v>-2.2204460492503131E-16</v>
      </c>
    </row>
    <row r="60" spans="1:5" x14ac:dyDescent="0.25">
      <c r="A60" s="6" t="s">
        <v>28</v>
      </c>
      <c r="B60" s="10">
        <v>20.060000000000002</v>
      </c>
      <c r="C60" s="10">
        <v>20.059999999999999</v>
      </c>
      <c r="D60" s="10">
        <f t="shared" si="4"/>
        <v>-3.5527136788005009E-15</v>
      </c>
      <c r="E60" s="19">
        <f t="shared" si="5"/>
        <v>-2.2204460492503131E-16</v>
      </c>
    </row>
    <row r="61" spans="1:5" x14ac:dyDescent="0.25">
      <c r="A61" s="8" t="s">
        <v>32</v>
      </c>
      <c r="B61" s="9">
        <v>1709.26</v>
      </c>
      <c r="C61" s="9">
        <v>1572.6799999999998</v>
      </c>
      <c r="D61" s="9">
        <f t="shared" si="4"/>
        <v>-136.58000000000015</v>
      </c>
      <c r="E61" s="23">
        <f t="shared" si="5"/>
        <v>-7.9905924201116418E-2</v>
      </c>
    </row>
    <row r="62" spans="1:5" x14ac:dyDescent="0.25">
      <c r="A62" s="6" t="s">
        <v>32</v>
      </c>
      <c r="B62" s="10">
        <v>1709.26</v>
      </c>
      <c r="C62" s="10">
        <v>1572.6799999999998</v>
      </c>
      <c r="D62" s="10">
        <f t="shared" si="4"/>
        <v>-136.58000000000015</v>
      </c>
      <c r="E62" s="19">
        <f t="shared" si="5"/>
        <v>-7.9905924201116418E-2</v>
      </c>
    </row>
    <row r="63" spans="1:5" x14ac:dyDescent="0.25">
      <c r="A63" s="7" t="s">
        <v>33</v>
      </c>
      <c r="B63" s="12">
        <v>44284.820000000022</v>
      </c>
      <c r="C63" s="12">
        <v>43193.15</v>
      </c>
      <c r="D63" s="13">
        <f t="shared" si="4"/>
        <v>-1091.6700000000201</v>
      </c>
      <c r="E63" s="25">
        <f t="shared" si="5"/>
        <v>-2.4651110696622847E-2</v>
      </c>
    </row>
    <row r="65" spans="1:5" ht="18.75" x14ac:dyDescent="0.3">
      <c r="A65" s="48" t="s">
        <v>142</v>
      </c>
    </row>
    <row r="66" spans="1:5" x14ac:dyDescent="0.25">
      <c r="A66" s="201" t="s">
        <v>0</v>
      </c>
      <c r="B66" s="201" t="s">
        <v>197</v>
      </c>
      <c r="C66" s="201"/>
      <c r="D66" s="201" t="s">
        <v>199</v>
      </c>
      <c r="E66" s="201"/>
    </row>
    <row r="67" spans="1:5" x14ac:dyDescent="0.25">
      <c r="A67" s="201"/>
      <c r="B67" s="91">
        <v>2019</v>
      </c>
      <c r="C67" s="92">
        <v>2020</v>
      </c>
      <c r="D67" s="91" t="s">
        <v>1</v>
      </c>
      <c r="E67" s="3" t="s">
        <v>2</v>
      </c>
    </row>
    <row r="68" spans="1:5" x14ac:dyDescent="0.25">
      <c r="A68" s="8" t="s">
        <v>4</v>
      </c>
      <c r="B68" s="9">
        <v>6406.7499999999991</v>
      </c>
      <c r="C68" s="9">
        <v>6525.61</v>
      </c>
      <c r="D68" s="9">
        <f>IFERROR(C68-B68,"")</f>
        <v>118.86000000000058</v>
      </c>
      <c r="E68" s="23">
        <f>IFERROR((C68/B68)-1,"")</f>
        <v>1.8552308112537608E-2</v>
      </c>
    </row>
    <row r="69" spans="1:5" x14ac:dyDescent="0.25">
      <c r="A69" s="6" t="s">
        <v>5</v>
      </c>
      <c r="B69" s="10">
        <v>1232.9799999999998</v>
      </c>
      <c r="C69" s="10">
        <v>1335.0099999999998</v>
      </c>
      <c r="D69" s="10">
        <f t="shared" ref="D69:D97" si="6">IFERROR(C69-B69,"")</f>
        <v>102.02999999999997</v>
      </c>
      <c r="E69" s="19">
        <f t="shared" ref="E69:E97" si="7">IFERROR((C69/B69)-1,"")</f>
        <v>8.2750733994063186E-2</v>
      </c>
    </row>
    <row r="70" spans="1:5" x14ac:dyDescent="0.25">
      <c r="A70" s="6" t="s">
        <v>6</v>
      </c>
      <c r="B70" s="10">
        <v>149.19000000000003</v>
      </c>
      <c r="C70" s="10">
        <v>134.97999999999999</v>
      </c>
      <c r="D70" s="10">
        <f t="shared" si="6"/>
        <v>-14.210000000000036</v>
      </c>
      <c r="E70" s="19">
        <f t="shared" si="7"/>
        <v>-9.5247670755412739E-2</v>
      </c>
    </row>
    <row r="71" spans="1:5" x14ac:dyDescent="0.25">
      <c r="A71" s="6" t="s">
        <v>7</v>
      </c>
      <c r="B71" s="10">
        <v>77.08</v>
      </c>
      <c r="C71" s="10">
        <v>62.15</v>
      </c>
      <c r="D71" s="10">
        <f t="shared" si="6"/>
        <v>-14.93</v>
      </c>
      <c r="E71" s="19">
        <f t="shared" si="7"/>
        <v>-0.19369486248053969</v>
      </c>
    </row>
    <row r="72" spans="1:5" x14ac:dyDescent="0.25">
      <c r="A72" s="6" t="s">
        <v>8</v>
      </c>
      <c r="B72" s="10">
        <v>1.35</v>
      </c>
      <c r="C72" s="10">
        <v>1.48</v>
      </c>
      <c r="D72" s="10">
        <f t="shared" si="6"/>
        <v>0.12999999999999989</v>
      </c>
      <c r="E72" s="19">
        <f t="shared" si="7"/>
        <v>9.6296296296296102E-2</v>
      </c>
    </row>
    <row r="73" spans="1:5" x14ac:dyDescent="0.25">
      <c r="A73" s="6" t="s">
        <v>9</v>
      </c>
      <c r="B73" s="10">
        <v>3465.8199999999993</v>
      </c>
      <c r="C73" s="10">
        <v>3552.96</v>
      </c>
      <c r="D73" s="10">
        <f t="shared" si="6"/>
        <v>87.140000000000782</v>
      </c>
      <c r="E73" s="19">
        <f t="shared" si="7"/>
        <v>2.5142679077390317E-2</v>
      </c>
    </row>
    <row r="74" spans="1:5" x14ac:dyDescent="0.25">
      <c r="A74" s="6" t="s">
        <v>11</v>
      </c>
      <c r="B74" s="10">
        <v>197.38999999999996</v>
      </c>
      <c r="C74" s="10">
        <v>189.95000000000002</v>
      </c>
      <c r="D74" s="10">
        <f t="shared" si="6"/>
        <v>-7.4399999999999409</v>
      </c>
      <c r="E74" s="19">
        <f t="shared" si="7"/>
        <v>-3.7691879021226726E-2</v>
      </c>
    </row>
    <row r="75" spans="1:5" x14ac:dyDescent="0.25">
      <c r="A75" s="6" t="s">
        <v>12</v>
      </c>
      <c r="B75" s="10">
        <v>1282.9399999999994</v>
      </c>
      <c r="C75" s="10">
        <v>1249.0800000000002</v>
      </c>
      <c r="D75" s="10">
        <f t="shared" si="6"/>
        <v>-33.859999999999218</v>
      </c>
      <c r="E75" s="19">
        <f t="shared" si="7"/>
        <v>-2.6392504715730514E-2</v>
      </c>
    </row>
    <row r="76" spans="1:5" x14ac:dyDescent="0.25">
      <c r="A76" s="8" t="s">
        <v>14</v>
      </c>
      <c r="B76" s="9">
        <v>721.7299999999999</v>
      </c>
      <c r="C76" s="9">
        <v>660.13</v>
      </c>
      <c r="D76" s="9">
        <f t="shared" si="6"/>
        <v>-61.599999999999909</v>
      </c>
      <c r="E76" s="23">
        <f t="shared" si="7"/>
        <v>-8.5350477325315421E-2</v>
      </c>
    </row>
    <row r="77" spans="1:5" x14ac:dyDescent="0.25">
      <c r="A77" s="6" t="s">
        <v>15</v>
      </c>
      <c r="B77" s="10">
        <v>206.27999999999997</v>
      </c>
      <c r="C77" s="10">
        <v>240.23000000000002</v>
      </c>
      <c r="D77" s="10">
        <f t="shared" si="6"/>
        <v>33.950000000000045</v>
      </c>
      <c r="E77" s="19">
        <f t="shared" si="7"/>
        <v>0.16458212138840445</v>
      </c>
    </row>
    <row r="78" spans="1:5" x14ac:dyDescent="0.25">
      <c r="A78" s="6" t="s">
        <v>16</v>
      </c>
      <c r="B78" s="10">
        <v>272.33999999999997</v>
      </c>
      <c r="C78" s="10">
        <v>228.31</v>
      </c>
      <c r="D78" s="10">
        <f t="shared" si="6"/>
        <v>-44.029999999999973</v>
      </c>
      <c r="E78" s="19">
        <f t="shared" si="7"/>
        <v>-0.16167290886392005</v>
      </c>
    </row>
    <row r="79" spans="1:5" x14ac:dyDescent="0.25">
      <c r="A79" s="6" t="s">
        <v>17</v>
      </c>
      <c r="B79" s="10">
        <v>243.10999999999996</v>
      </c>
      <c r="C79" s="10">
        <v>191.58999999999997</v>
      </c>
      <c r="D79" s="10">
        <f t="shared" si="6"/>
        <v>-51.519999999999982</v>
      </c>
      <c r="E79" s="19">
        <f t="shared" si="7"/>
        <v>-0.21192052980132448</v>
      </c>
    </row>
    <row r="80" spans="1:5" x14ac:dyDescent="0.25">
      <c r="A80" s="8" t="s">
        <v>39</v>
      </c>
      <c r="B80" s="11"/>
      <c r="C80" s="9">
        <v>0.16</v>
      </c>
      <c r="D80" s="9">
        <f t="shared" si="6"/>
        <v>0.16</v>
      </c>
      <c r="E80" s="23" t="str">
        <f t="shared" si="7"/>
        <v/>
      </c>
    </row>
    <row r="81" spans="1:5" x14ac:dyDescent="0.25">
      <c r="A81" s="6" t="s">
        <v>40</v>
      </c>
      <c r="B81" s="10"/>
      <c r="C81" s="10">
        <v>0.16</v>
      </c>
      <c r="D81" s="10">
        <f t="shared" si="6"/>
        <v>0.16</v>
      </c>
      <c r="E81" s="19" t="str">
        <f t="shared" si="7"/>
        <v/>
      </c>
    </row>
    <row r="82" spans="1:5" x14ac:dyDescent="0.25">
      <c r="A82" s="8" t="s">
        <v>18</v>
      </c>
      <c r="B82" s="11"/>
      <c r="C82" s="9">
        <v>0.08</v>
      </c>
      <c r="D82" s="9">
        <f t="shared" si="6"/>
        <v>0.08</v>
      </c>
      <c r="E82" s="23" t="str">
        <f t="shared" si="7"/>
        <v/>
      </c>
    </row>
    <row r="83" spans="1:5" x14ac:dyDescent="0.25">
      <c r="A83" s="6" t="s">
        <v>18</v>
      </c>
      <c r="B83" s="10"/>
      <c r="C83" s="10">
        <v>0.08</v>
      </c>
      <c r="D83" s="10">
        <f t="shared" si="6"/>
        <v>0.08</v>
      </c>
      <c r="E83" s="19" t="str">
        <f t="shared" si="7"/>
        <v/>
      </c>
    </row>
    <row r="84" spans="1:5" x14ac:dyDescent="0.25">
      <c r="A84" s="8" t="s">
        <v>19</v>
      </c>
      <c r="B84" s="9">
        <v>500.46000000000004</v>
      </c>
      <c r="C84" s="9">
        <v>2.86</v>
      </c>
      <c r="D84" s="9">
        <f t="shared" si="6"/>
        <v>-497.6</v>
      </c>
      <c r="E84" s="23">
        <f t="shared" si="7"/>
        <v>-0.99428525756304198</v>
      </c>
    </row>
    <row r="85" spans="1:5" x14ac:dyDescent="0.25">
      <c r="A85" s="17" t="s">
        <v>20</v>
      </c>
      <c r="B85" s="10">
        <v>0.05</v>
      </c>
      <c r="C85" s="101"/>
      <c r="D85" s="101">
        <f t="shared" si="6"/>
        <v>-0.05</v>
      </c>
      <c r="E85" s="102">
        <f t="shared" si="7"/>
        <v>-1</v>
      </c>
    </row>
    <row r="86" spans="1:5" x14ac:dyDescent="0.25">
      <c r="A86" s="6" t="s">
        <v>22</v>
      </c>
      <c r="B86" s="10">
        <v>500.41</v>
      </c>
      <c r="C86" s="10">
        <v>2.86</v>
      </c>
      <c r="D86" s="10">
        <f t="shared" si="6"/>
        <v>-497.55</v>
      </c>
      <c r="E86" s="19">
        <f t="shared" si="7"/>
        <v>-0.99428468655702329</v>
      </c>
    </row>
    <row r="87" spans="1:5" x14ac:dyDescent="0.25">
      <c r="A87" s="8" t="s">
        <v>23</v>
      </c>
      <c r="B87" s="9">
        <v>6.46</v>
      </c>
      <c r="C87" s="9">
        <v>6.51</v>
      </c>
      <c r="D87" s="9">
        <f t="shared" si="6"/>
        <v>4.9999999999999822E-2</v>
      </c>
      <c r="E87" s="23">
        <f t="shared" si="7"/>
        <v>7.7399380804952234E-3</v>
      </c>
    </row>
    <row r="88" spans="1:5" x14ac:dyDescent="0.25">
      <c r="A88" s="6" t="s">
        <v>24</v>
      </c>
      <c r="B88" s="10">
        <v>6.17</v>
      </c>
      <c r="C88" s="10">
        <v>6.17</v>
      </c>
      <c r="D88" s="10">
        <f t="shared" si="6"/>
        <v>0</v>
      </c>
      <c r="E88" s="19">
        <f t="shared" si="7"/>
        <v>0</v>
      </c>
    </row>
    <row r="89" spans="1:5" x14ac:dyDescent="0.25">
      <c r="A89" s="6" t="s">
        <v>25</v>
      </c>
      <c r="B89" s="10">
        <v>0.29000000000000004</v>
      </c>
      <c r="C89" s="10">
        <v>0.34</v>
      </c>
      <c r="D89" s="10">
        <f t="shared" si="6"/>
        <v>4.9999999999999989E-2</v>
      </c>
      <c r="E89" s="19">
        <f t="shared" si="7"/>
        <v>0.17241379310344818</v>
      </c>
    </row>
    <row r="90" spans="1:5" x14ac:dyDescent="0.25">
      <c r="A90" s="8" t="s">
        <v>28</v>
      </c>
      <c r="B90" s="9">
        <v>4.9799999999999995</v>
      </c>
      <c r="C90" s="9">
        <v>4.88</v>
      </c>
      <c r="D90" s="9">
        <f t="shared" si="6"/>
        <v>-9.9999999999999645E-2</v>
      </c>
      <c r="E90" s="23">
        <f t="shared" si="7"/>
        <v>-2.0080321285140479E-2</v>
      </c>
    </row>
    <row r="91" spans="1:5" x14ac:dyDescent="0.25">
      <c r="A91" s="6" t="s">
        <v>28</v>
      </c>
      <c r="B91" s="10">
        <v>4.9799999999999995</v>
      </c>
      <c r="C91" s="10">
        <v>4.88</v>
      </c>
      <c r="D91" s="10">
        <f t="shared" si="6"/>
        <v>-9.9999999999999645E-2</v>
      </c>
      <c r="E91" s="19">
        <f t="shared" si="7"/>
        <v>-2.0080321285140479E-2</v>
      </c>
    </row>
    <row r="92" spans="1:5" x14ac:dyDescent="0.25">
      <c r="A92" s="8" t="s">
        <v>29</v>
      </c>
      <c r="B92" s="11"/>
      <c r="C92" s="9">
        <v>16.759999999999998</v>
      </c>
      <c r="D92" s="9">
        <f t="shared" si="6"/>
        <v>16.759999999999998</v>
      </c>
      <c r="E92" s="23" t="str">
        <f t="shared" si="7"/>
        <v/>
      </c>
    </row>
    <row r="93" spans="1:5" x14ac:dyDescent="0.25">
      <c r="A93" s="6" t="s">
        <v>30</v>
      </c>
      <c r="B93" s="10"/>
      <c r="C93" s="10">
        <v>10.01</v>
      </c>
      <c r="D93" s="10">
        <f t="shared" si="6"/>
        <v>10.01</v>
      </c>
      <c r="E93" s="19" t="str">
        <f t="shared" si="7"/>
        <v/>
      </c>
    </row>
    <row r="94" spans="1:5" x14ac:dyDescent="0.25">
      <c r="A94" s="6" t="s">
        <v>31</v>
      </c>
      <c r="B94" s="10"/>
      <c r="C94" s="10">
        <v>6.75</v>
      </c>
      <c r="D94" s="10">
        <f t="shared" si="6"/>
        <v>6.75</v>
      </c>
      <c r="E94" s="19" t="str">
        <f t="shared" si="7"/>
        <v/>
      </c>
    </row>
    <row r="95" spans="1:5" x14ac:dyDescent="0.25">
      <c r="A95" s="8" t="s">
        <v>32</v>
      </c>
      <c r="B95" s="9">
        <v>3134.72</v>
      </c>
      <c r="C95" s="9">
        <v>3150.3200000000006</v>
      </c>
      <c r="D95" s="9">
        <f t="shared" si="6"/>
        <v>15.600000000000819</v>
      </c>
      <c r="E95" s="103">
        <f t="shared" si="7"/>
        <v>4.9765210289915984E-3</v>
      </c>
    </row>
    <row r="96" spans="1:5" x14ac:dyDescent="0.25">
      <c r="A96" s="6" t="s">
        <v>32</v>
      </c>
      <c r="B96" s="10">
        <v>3134.72</v>
      </c>
      <c r="C96" s="10">
        <v>3150.3200000000006</v>
      </c>
      <c r="D96" s="10">
        <f t="shared" si="6"/>
        <v>15.600000000000819</v>
      </c>
      <c r="E96" s="19">
        <f t="shared" si="7"/>
        <v>4.9765210289915984E-3</v>
      </c>
    </row>
    <row r="97" spans="1:5" x14ac:dyDescent="0.25">
      <c r="A97" s="7" t="s">
        <v>33</v>
      </c>
      <c r="B97" s="12">
        <v>10775.099999999999</v>
      </c>
      <c r="C97" s="13">
        <v>10367.310000000001</v>
      </c>
      <c r="D97" s="13">
        <f t="shared" si="6"/>
        <v>-407.78999999999724</v>
      </c>
      <c r="E97" s="25">
        <f t="shared" si="7"/>
        <v>-3.7845588440014177E-2</v>
      </c>
    </row>
    <row r="99" spans="1:5" ht="18.75" x14ac:dyDescent="0.3">
      <c r="A99" s="203" t="s">
        <v>143</v>
      </c>
      <c r="B99" s="203"/>
    </row>
    <row r="100" spans="1:5" x14ac:dyDescent="0.25">
      <c r="A100" s="201" t="s">
        <v>0</v>
      </c>
      <c r="B100" s="201" t="s">
        <v>197</v>
      </c>
      <c r="C100" s="201"/>
      <c r="D100" s="201" t="s">
        <v>199</v>
      </c>
      <c r="E100" s="201"/>
    </row>
    <row r="101" spans="1:5" x14ac:dyDescent="0.25">
      <c r="A101" s="201"/>
      <c r="B101" s="91">
        <v>2019</v>
      </c>
      <c r="C101" s="92">
        <v>2020</v>
      </c>
      <c r="D101" s="91" t="s">
        <v>1</v>
      </c>
      <c r="E101" s="3" t="s">
        <v>2</v>
      </c>
    </row>
    <row r="102" spans="1:5" x14ac:dyDescent="0.25">
      <c r="A102" s="8" t="s">
        <v>4</v>
      </c>
      <c r="B102" s="9">
        <v>4450.3</v>
      </c>
      <c r="C102" s="9">
        <v>4923.4400000000005</v>
      </c>
      <c r="D102" s="9">
        <f>IFERROR(C102-B102,"")</f>
        <v>473.14000000000033</v>
      </c>
      <c r="E102" s="23">
        <f>IFERROR((C102/B102)-1,"")</f>
        <v>0.10631642810597053</v>
      </c>
    </row>
    <row r="103" spans="1:5" x14ac:dyDescent="0.25">
      <c r="A103" s="6" t="s">
        <v>5</v>
      </c>
      <c r="B103" s="10">
        <v>351.40000000000009</v>
      </c>
      <c r="C103" s="10">
        <v>303.8</v>
      </c>
      <c r="D103" s="10">
        <f t="shared" ref="D103:D123" si="8">IFERROR(C103-B103,"")</f>
        <v>-47.60000000000008</v>
      </c>
      <c r="E103" s="19">
        <f t="shared" ref="E103:E123" si="9">IFERROR((C103/B103)-1,"")</f>
        <v>-0.1354581673306775</v>
      </c>
    </row>
    <row r="104" spans="1:5" x14ac:dyDescent="0.25">
      <c r="A104" s="6" t="s">
        <v>6</v>
      </c>
      <c r="B104" s="10">
        <v>38.99</v>
      </c>
      <c r="C104" s="10">
        <v>28.509999999999998</v>
      </c>
      <c r="D104" s="10">
        <f t="shared" si="8"/>
        <v>-10.480000000000004</v>
      </c>
      <c r="E104" s="19">
        <f t="shared" si="9"/>
        <v>-0.26878686842780208</v>
      </c>
    </row>
    <row r="105" spans="1:5" x14ac:dyDescent="0.25">
      <c r="A105" s="6" t="s">
        <v>7</v>
      </c>
      <c r="B105" s="10">
        <v>107.39999999999999</v>
      </c>
      <c r="C105" s="10">
        <v>109.99000000000001</v>
      </c>
      <c r="D105" s="10">
        <f t="shared" si="8"/>
        <v>2.5900000000000176</v>
      </c>
      <c r="E105" s="19">
        <f t="shared" si="9"/>
        <v>2.4115456238361421E-2</v>
      </c>
    </row>
    <row r="106" spans="1:5" x14ac:dyDescent="0.25">
      <c r="A106" s="6" t="s">
        <v>8</v>
      </c>
      <c r="B106" s="10">
        <v>6.08</v>
      </c>
      <c r="C106" s="10">
        <v>4.1000000000000005</v>
      </c>
      <c r="D106" s="10">
        <f t="shared" si="8"/>
        <v>-1.9799999999999995</v>
      </c>
      <c r="E106" s="19">
        <f t="shared" si="9"/>
        <v>-0.32565789473684204</v>
      </c>
    </row>
    <row r="107" spans="1:5" x14ac:dyDescent="0.25">
      <c r="A107" s="6" t="s">
        <v>9</v>
      </c>
      <c r="B107" s="10">
        <v>2362.3199999999993</v>
      </c>
      <c r="C107" s="10">
        <v>2673.88</v>
      </c>
      <c r="D107" s="10">
        <f t="shared" si="8"/>
        <v>311.56000000000085</v>
      </c>
      <c r="E107" s="19">
        <f t="shared" si="9"/>
        <v>0.13188729723322878</v>
      </c>
    </row>
    <row r="108" spans="1:5" x14ac:dyDescent="0.25">
      <c r="A108" s="6" t="s">
        <v>11</v>
      </c>
      <c r="B108" s="10">
        <v>133.47</v>
      </c>
      <c r="C108" s="10">
        <v>127.47000000000001</v>
      </c>
      <c r="D108" s="10">
        <f t="shared" si="8"/>
        <v>-5.9999999999999858</v>
      </c>
      <c r="E108" s="19">
        <f t="shared" si="9"/>
        <v>-4.4953922229714394E-2</v>
      </c>
    </row>
    <row r="109" spans="1:5" x14ac:dyDescent="0.25">
      <c r="A109" s="6" t="s">
        <v>12</v>
      </c>
      <c r="B109" s="10">
        <v>1450.640000000001</v>
      </c>
      <c r="C109" s="10">
        <v>1675.69</v>
      </c>
      <c r="D109" s="10">
        <f t="shared" si="8"/>
        <v>225.04999999999905</v>
      </c>
      <c r="E109" s="19">
        <f t="shared" si="9"/>
        <v>0.15513842166216207</v>
      </c>
    </row>
    <row r="110" spans="1:5" x14ac:dyDescent="0.25">
      <c r="A110" s="8" t="s">
        <v>14</v>
      </c>
      <c r="B110" s="9">
        <v>13906.469999999996</v>
      </c>
      <c r="C110" s="9">
        <v>14284.490000000002</v>
      </c>
      <c r="D110" s="9">
        <f t="shared" si="8"/>
        <v>378.02000000000589</v>
      </c>
      <c r="E110" s="23">
        <f t="shared" si="9"/>
        <v>2.718303063250449E-2</v>
      </c>
    </row>
    <row r="111" spans="1:5" x14ac:dyDescent="0.25">
      <c r="A111" s="6" t="s">
        <v>15</v>
      </c>
      <c r="B111" s="10">
        <v>2730.6300000000015</v>
      </c>
      <c r="C111" s="10">
        <v>2736.2899999999995</v>
      </c>
      <c r="D111" s="10">
        <f t="shared" si="8"/>
        <v>5.6599999999980355</v>
      </c>
      <c r="E111" s="19">
        <f t="shared" si="9"/>
        <v>2.0727817390118197E-3</v>
      </c>
    </row>
    <row r="112" spans="1:5" x14ac:dyDescent="0.25">
      <c r="A112" s="6" t="s">
        <v>16</v>
      </c>
      <c r="B112" s="10">
        <v>2649.9799999999996</v>
      </c>
      <c r="C112" s="10">
        <v>2797.75</v>
      </c>
      <c r="D112" s="10">
        <f t="shared" si="8"/>
        <v>147.77000000000044</v>
      </c>
      <c r="E112" s="19">
        <f t="shared" si="9"/>
        <v>5.5762685001396362E-2</v>
      </c>
    </row>
    <row r="113" spans="1:5" x14ac:dyDescent="0.25">
      <c r="A113" s="6" t="s">
        <v>17</v>
      </c>
      <c r="B113" s="10">
        <v>8525.8599999999951</v>
      </c>
      <c r="C113" s="10">
        <v>8750.4500000000025</v>
      </c>
      <c r="D113" s="10">
        <f t="shared" si="8"/>
        <v>224.59000000000742</v>
      </c>
      <c r="E113" s="19">
        <f t="shared" si="9"/>
        <v>2.63422106391622E-2</v>
      </c>
    </row>
    <row r="114" spans="1:5" x14ac:dyDescent="0.25">
      <c r="A114" s="8" t="s">
        <v>19</v>
      </c>
      <c r="B114" s="9">
        <v>214.51</v>
      </c>
      <c r="C114" s="9">
        <v>239.4199999999999</v>
      </c>
      <c r="D114" s="9">
        <f t="shared" si="8"/>
        <v>24.909999999999911</v>
      </c>
      <c r="E114" s="23">
        <f t="shared" si="9"/>
        <v>0.11612512237191708</v>
      </c>
    </row>
    <row r="115" spans="1:5" x14ac:dyDescent="0.25">
      <c r="A115" s="6" t="s">
        <v>22</v>
      </c>
      <c r="B115" s="10">
        <v>214.51</v>
      </c>
      <c r="C115" s="10">
        <v>239.4199999999999</v>
      </c>
      <c r="D115" s="10">
        <f t="shared" si="8"/>
        <v>24.909999999999911</v>
      </c>
      <c r="E115" s="19">
        <f t="shared" si="9"/>
        <v>0.11612512237191708</v>
      </c>
    </row>
    <row r="116" spans="1:5" x14ac:dyDescent="0.25">
      <c r="A116" s="8" t="s">
        <v>23</v>
      </c>
      <c r="B116" s="9">
        <v>0.94000000000000006</v>
      </c>
      <c r="C116" s="9">
        <v>1</v>
      </c>
      <c r="D116" s="9">
        <f t="shared" si="8"/>
        <v>5.9999999999999942E-2</v>
      </c>
      <c r="E116" s="23">
        <f t="shared" si="9"/>
        <v>6.3829787234042534E-2</v>
      </c>
    </row>
    <row r="117" spans="1:5" x14ac:dyDescent="0.25">
      <c r="A117" s="6" t="s">
        <v>24</v>
      </c>
      <c r="B117" s="10">
        <v>0.8</v>
      </c>
      <c r="C117" s="10">
        <v>0.8600000000000001</v>
      </c>
      <c r="D117" s="10">
        <f t="shared" si="8"/>
        <v>6.0000000000000053E-2</v>
      </c>
      <c r="E117" s="19">
        <f t="shared" si="9"/>
        <v>7.4999999999999956E-2</v>
      </c>
    </row>
    <row r="118" spans="1:5" x14ac:dyDescent="0.25">
      <c r="A118" s="6" t="s">
        <v>25</v>
      </c>
      <c r="B118" s="10">
        <v>0.14000000000000001</v>
      </c>
      <c r="C118" s="10">
        <v>0.14000000000000001</v>
      </c>
      <c r="D118" s="10">
        <f t="shared" si="8"/>
        <v>0</v>
      </c>
      <c r="E118" s="19">
        <f t="shared" si="9"/>
        <v>0</v>
      </c>
    </row>
    <row r="119" spans="1:5" x14ac:dyDescent="0.25">
      <c r="A119" s="8" t="s">
        <v>28</v>
      </c>
      <c r="B119" s="9">
        <v>3.3</v>
      </c>
      <c r="C119" s="9">
        <v>1.7400000000000002</v>
      </c>
      <c r="D119" s="9">
        <f t="shared" si="8"/>
        <v>-1.5599999999999996</v>
      </c>
      <c r="E119" s="23">
        <f t="shared" si="9"/>
        <v>-0.47272727272727266</v>
      </c>
    </row>
    <row r="120" spans="1:5" x14ac:dyDescent="0.25">
      <c r="A120" s="6" t="s">
        <v>28</v>
      </c>
      <c r="B120" s="10">
        <v>3.3</v>
      </c>
      <c r="C120" s="10">
        <v>1.7400000000000002</v>
      </c>
      <c r="D120" s="10">
        <f t="shared" si="8"/>
        <v>-1.5599999999999996</v>
      </c>
      <c r="E120" s="19">
        <f t="shared" si="9"/>
        <v>-0.47272727272727266</v>
      </c>
    </row>
    <row r="121" spans="1:5" x14ac:dyDescent="0.25">
      <c r="A121" s="8" t="s">
        <v>32</v>
      </c>
      <c r="B121" s="9">
        <v>1177.7200000000003</v>
      </c>
      <c r="C121" s="9">
        <v>1193.08</v>
      </c>
      <c r="D121" s="9">
        <f t="shared" si="8"/>
        <v>15.359999999999673</v>
      </c>
      <c r="E121" s="23">
        <f t="shared" si="9"/>
        <v>1.3042149237509459E-2</v>
      </c>
    </row>
    <row r="122" spans="1:5" x14ac:dyDescent="0.25">
      <c r="A122" s="6" t="s">
        <v>32</v>
      </c>
      <c r="B122" s="10">
        <v>1177.7200000000003</v>
      </c>
      <c r="C122" s="10">
        <v>1193.08</v>
      </c>
      <c r="D122" s="10">
        <f t="shared" si="8"/>
        <v>15.359999999999673</v>
      </c>
      <c r="E122" s="19">
        <f t="shared" si="9"/>
        <v>1.3042149237509459E-2</v>
      </c>
    </row>
    <row r="123" spans="1:5" x14ac:dyDescent="0.25">
      <c r="A123" s="7" t="s">
        <v>33</v>
      </c>
      <c r="B123" s="12">
        <v>19753.239999999991</v>
      </c>
      <c r="C123" s="12">
        <v>20643.169999999991</v>
      </c>
      <c r="D123" s="13">
        <f t="shared" si="8"/>
        <v>889.93000000000029</v>
      </c>
      <c r="E123" s="25">
        <f t="shared" si="9"/>
        <v>4.5052355967932334E-2</v>
      </c>
    </row>
    <row r="125" spans="1:5" ht="18.75" x14ac:dyDescent="0.3">
      <c r="A125" s="93" t="s">
        <v>144</v>
      </c>
      <c r="B125" s="99"/>
    </row>
    <row r="126" spans="1:5" x14ac:dyDescent="0.25">
      <c r="A126" s="201" t="s">
        <v>0</v>
      </c>
      <c r="B126" s="201" t="s">
        <v>197</v>
      </c>
      <c r="C126" s="201"/>
      <c r="D126" s="201" t="s">
        <v>199</v>
      </c>
      <c r="E126" s="201"/>
    </row>
    <row r="127" spans="1:5" x14ac:dyDescent="0.25">
      <c r="A127" s="201"/>
      <c r="B127" s="91">
        <v>2019</v>
      </c>
      <c r="C127" s="92">
        <v>2020</v>
      </c>
      <c r="D127" s="91" t="s">
        <v>1</v>
      </c>
      <c r="E127" s="3" t="s">
        <v>2</v>
      </c>
    </row>
    <row r="128" spans="1:5" x14ac:dyDescent="0.25">
      <c r="A128" s="8" t="s">
        <v>4</v>
      </c>
      <c r="B128" s="9">
        <v>171.31</v>
      </c>
      <c r="C128" s="9">
        <v>136.25</v>
      </c>
      <c r="D128" s="9">
        <f>IFERROR(C128-B128,"")</f>
        <v>-35.06</v>
      </c>
      <c r="E128" s="23">
        <f>IFERROR((C128/B128)-1,"")</f>
        <v>-0.20465822193683969</v>
      </c>
    </row>
    <row r="129" spans="1:5" x14ac:dyDescent="0.25">
      <c r="A129" s="6" t="s">
        <v>5</v>
      </c>
      <c r="B129" s="10">
        <v>16.41</v>
      </c>
      <c r="C129" s="10">
        <v>16.73</v>
      </c>
      <c r="D129" s="10">
        <f t="shared" ref="D129:D144" si="10">IFERROR(C129-B129,"")</f>
        <v>0.32000000000000028</v>
      </c>
      <c r="E129" s="19">
        <f t="shared" ref="E129:E144" si="11">IFERROR((C129/B129)-1,"")</f>
        <v>1.9500304692260828E-2</v>
      </c>
    </row>
    <row r="130" spans="1:5" x14ac:dyDescent="0.25">
      <c r="A130" s="6" t="s">
        <v>6</v>
      </c>
      <c r="B130" s="10">
        <v>6.69</v>
      </c>
      <c r="C130" s="10">
        <v>5.14</v>
      </c>
      <c r="D130" s="10">
        <f t="shared" si="10"/>
        <v>-1.5500000000000007</v>
      </c>
      <c r="E130" s="19">
        <f t="shared" si="11"/>
        <v>-0.23168908819133038</v>
      </c>
    </row>
    <row r="131" spans="1:5" x14ac:dyDescent="0.25">
      <c r="A131" s="6" t="s">
        <v>9</v>
      </c>
      <c r="B131" s="10">
        <v>129.43</v>
      </c>
      <c r="C131" s="10">
        <v>93.86</v>
      </c>
      <c r="D131" s="10">
        <f t="shared" si="10"/>
        <v>-35.570000000000007</v>
      </c>
      <c r="E131" s="19">
        <f t="shared" si="11"/>
        <v>-0.27482036622112338</v>
      </c>
    </row>
    <row r="132" spans="1:5" x14ac:dyDescent="0.25">
      <c r="A132" s="6" t="s">
        <v>11</v>
      </c>
      <c r="B132" s="10">
        <v>9.6900000000000013</v>
      </c>
      <c r="C132" s="10">
        <v>4.82</v>
      </c>
      <c r="D132" s="10">
        <f t="shared" si="10"/>
        <v>-4.870000000000001</v>
      </c>
      <c r="E132" s="19">
        <f t="shared" si="11"/>
        <v>-0.50257997936016507</v>
      </c>
    </row>
    <row r="133" spans="1:5" x14ac:dyDescent="0.25">
      <c r="A133" s="6" t="s">
        <v>12</v>
      </c>
      <c r="B133" s="10">
        <v>9.09</v>
      </c>
      <c r="C133" s="10">
        <v>15.7</v>
      </c>
      <c r="D133" s="10">
        <f t="shared" si="10"/>
        <v>6.6099999999999994</v>
      </c>
      <c r="E133" s="19">
        <f t="shared" si="11"/>
        <v>0.72717271727172705</v>
      </c>
    </row>
    <row r="134" spans="1:5" x14ac:dyDescent="0.25">
      <c r="A134" s="8" t="s">
        <v>14</v>
      </c>
      <c r="B134" s="9">
        <v>4476.6299999999983</v>
      </c>
      <c r="C134" s="9">
        <v>4426.75</v>
      </c>
      <c r="D134" s="9">
        <f t="shared" si="10"/>
        <v>-49.87999999999829</v>
      </c>
      <c r="E134" s="23">
        <f t="shared" si="11"/>
        <v>-1.1142310175287773E-2</v>
      </c>
    </row>
    <row r="135" spans="1:5" x14ac:dyDescent="0.25">
      <c r="A135" s="6" t="s">
        <v>15</v>
      </c>
      <c r="B135" s="10">
        <v>493.34000000000015</v>
      </c>
      <c r="C135" s="10">
        <v>420.68999999999994</v>
      </c>
      <c r="D135" s="10">
        <f t="shared" si="10"/>
        <v>-72.650000000000205</v>
      </c>
      <c r="E135" s="19">
        <f t="shared" si="11"/>
        <v>-0.14726152349292609</v>
      </c>
    </row>
    <row r="136" spans="1:5" x14ac:dyDescent="0.25">
      <c r="A136" s="6" t="s">
        <v>16</v>
      </c>
      <c r="B136" s="10">
        <v>109.83000000000001</v>
      </c>
      <c r="C136" s="10">
        <v>97.009999999999991</v>
      </c>
      <c r="D136" s="10">
        <f t="shared" si="10"/>
        <v>-12.820000000000022</v>
      </c>
      <c r="E136" s="19">
        <f t="shared" si="11"/>
        <v>-0.11672584903942473</v>
      </c>
    </row>
    <row r="137" spans="1:5" x14ac:dyDescent="0.25">
      <c r="A137" s="6" t="s">
        <v>17</v>
      </c>
      <c r="B137" s="10">
        <v>3873.4599999999978</v>
      </c>
      <c r="C137" s="10">
        <v>3909.0499999999997</v>
      </c>
      <c r="D137" s="10">
        <f t="shared" si="10"/>
        <v>35.590000000001965</v>
      </c>
      <c r="E137" s="19">
        <f t="shared" si="11"/>
        <v>9.1881676847060945E-3</v>
      </c>
    </row>
    <row r="138" spans="1:5" x14ac:dyDescent="0.25">
      <c r="A138" s="8" t="s">
        <v>19</v>
      </c>
      <c r="B138" s="9">
        <v>10.89</v>
      </c>
      <c r="C138" s="9">
        <v>162.59999999999994</v>
      </c>
      <c r="D138" s="9">
        <f t="shared" si="10"/>
        <v>151.70999999999992</v>
      </c>
      <c r="E138" s="23">
        <f t="shared" si="11"/>
        <v>13.931129476584015</v>
      </c>
    </row>
    <row r="139" spans="1:5" x14ac:dyDescent="0.25">
      <c r="A139" s="6" t="s">
        <v>22</v>
      </c>
      <c r="B139" s="10">
        <v>10.89</v>
      </c>
      <c r="C139" s="10">
        <v>162.59999999999994</v>
      </c>
      <c r="D139" s="10">
        <f t="shared" si="10"/>
        <v>151.70999999999992</v>
      </c>
      <c r="E139" s="19">
        <f t="shared" si="11"/>
        <v>13.931129476584015</v>
      </c>
    </row>
    <row r="140" spans="1:5" x14ac:dyDescent="0.25">
      <c r="A140" s="8" t="s">
        <v>28</v>
      </c>
      <c r="B140" s="11"/>
      <c r="C140" s="11">
        <v>0.22</v>
      </c>
      <c r="D140" s="9">
        <f t="shared" si="10"/>
        <v>0.22</v>
      </c>
      <c r="E140" s="23" t="str">
        <f t="shared" si="11"/>
        <v/>
      </c>
    </row>
    <row r="141" spans="1:5" x14ac:dyDescent="0.25">
      <c r="A141" s="6" t="s">
        <v>28</v>
      </c>
      <c r="B141" s="10"/>
      <c r="C141" s="10">
        <v>0.22</v>
      </c>
      <c r="D141" s="10">
        <f t="shared" si="10"/>
        <v>0.22</v>
      </c>
      <c r="E141" s="19" t="str">
        <f t="shared" si="11"/>
        <v/>
      </c>
    </row>
    <row r="142" spans="1:5" x14ac:dyDescent="0.25">
      <c r="A142" s="8" t="s">
        <v>32</v>
      </c>
      <c r="B142" s="9">
        <v>84.500000000000014</v>
      </c>
      <c r="C142" s="9">
        <v>60.42</v>
      </c>
      <c r="D142" s="9">
        <f t="shared" si="10"/>
        <v>-24.080000000000013</v>
      </c>
      <c r="E142" s="23">
        <f t="shared" si="11"/>
        <v>-0.28497041420118352</v>
      </c>
    </row>
    <row r="143" spans="1:5" x14ac:dyDescent="0.25">
      <c r="A143" s="6" t="s">
        <v>32</v>
      </c>
      <c r="B143" s="10">
        <v>84.500000000000014</v>
      </c>
      <c r="C143" s="10">
        <v>60.42</v>
      </c>
      <c r="D143" s="10">
        <f t="shared" si="10"/>
        <v>-24.080000000000013</v>
      </c>
      <c r="E143" s="19">
        <f t="shared" si="11"/>
        <v>-0.28497041420118352</v>
      </c>
    </row>
    <row r="144" spans="1:5" x14ac:dyDescent="0.25">
      <c r="A144" s="7" t="s">
        <v>33</v>
      </c>
      <c r="B144" s="12">
        <v>4743.3299999999981</v>
      </c>
      <c r="C144" s="12">
        <v>4786.2399999999989</v>
      </c>
      <c r="D144" s="13">
        <f t="shared" si="10"/>
        <v>42.910000000000764</v>
      </c>
      <c r="E144" s="25">
        <f t="shared" si="11"/>
        <v>9.0463872427177794E-3</v>
      </c>
    </row>
  </sheetData>
  <mergeCells count="19">
    <mergeCell ref="A5:G5"/>
    <mergeCell ref="A6:A7"/>
    <mergeCell ref="B6:C6"/>
    <mergeCell ref="D6:E6"/>
    <mergeCell ref="F6:G6"/>
    <mergeCell ref="H6:I6"/>
    <mergeCell ref="A126:A127"/>
    <mergeCell ref="B126:C126"/>
    <mergeCell ref="D40:E40"/>
    <mergeCell ref="D66:E66"/>
    <mergeCell ref="D100:E100"/>
    <mergeCell ref="D126:E126"/>
    <mergeCell ref="A40:A41"/>
    <mergeCell ref="B40:C40"/>
    <mergeCell ref="A66:A67"/>
    <mergeCell ref="B66:C66"/>
    <mergeCell ref="A100:A101"/>
    <mergeCell ref="B100:C100"/>
    <mergeCell ref="A99:B99"/>
  </mergeCells>
  <conditionalFormatting sqref="H8:I37">
    <cfRule type="cellIs" dxfId="6" priority="5" operator="lessThan">
      <formula>0</formula>
    </cfRule>
  </conditionalFormatting>
  <conditionalFormatting sqref="D42:E63">
    <cfRule type="cellIs" dxfId="5" priority="4" operator="lessThan">
      <formula>0</formula>
    </cfRule>
  </conditionalFormatting>
  <conditionalFormatting sqref="D68:E97">
    <cfRule type="cellIs" dxfId="4" priority="3" operator="lessThan">
      <formula>0</formula>
    </cfRule>
  </conditionalFormatting>
  <conditionalFormatting sqref="D102:E123">
    <cfRule type="cellIs" dxfId="3" priority="2" operator="lessThan">
      <formula>0</formula>
    </cfRule>
  </conditionalFormatting>
  <conditionalFormatting sqref="D128:E144">
    <cfRule type="cellIs" dxfId="2" priority="1" operator="lessThan">
      <formula>0</formula>
    </cfRule>
  </conditionalFormatting>
  <hyperlinks>
    <hyperlink ref="D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7" zoomScaleNormal="100" workbookViewId="0">
      <selection activeCell="C1" sqref="C1:D1"/>
    </sheetView>
  </sheetViews>
  <sheetFormatPr baseColWidth="10" defaultRowHeight="15" x14ac:dyDescent="0.25"/>
  <cols>
    <col min="1" max="1" width="26.85546875" customWidth="1"/>
    <col min="6" max="6" width="17.85546875" customWidth="1"/>
    <col min="7" max="7" width="15.7109375" customWidth="1"/>
    <col min="8" max="8" width="14.5703125" customWidth="1"/>
    <col min="9" max="9" width="15.5703125" customWidth="1"/>
  </cols>
  <sheetData>
    <row r="1" spans="1:9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9" x14ac:dyDescent="0.25">
      <c r="F2" t="s">
        <v>184</v>
      </c>
    </row>
    <row r="3" spans="1:9" x14ac:dyDescent="0.25">
      <c r="F3" t="s">
        <v>157</v>
      </c>
    </row>
    <row r="4" spans="1:9" ht="15.75" customHeight="1" x14ac:dyDescent="0.3">
      <c r="F4" t="s">
        <v>191</v>
      </c>
      <c r="G4" s="104"/>
      <c r="H4" s="104"/>
      <c r="I4" s="104"/>
    </row>
    <row r="5" spans="1:9" ht="18.75" x14ac:dyDescent="0.3">
      <c r="A5" s="100" t="s">
        <v>41</v>
      </c>
      <c r="B5" s="104"/>
      <c r="C5" s="104"/>
      <c r="D5" s="105"/>
      <c r="E5" s="106"/>
      <c r="F5" s="123"/>
      <c r="G5" s="4"/>
      <c r="H5" s="4"/>
      <c r="I5" s="4"/>
    </row>
    <row r="6" spans="1:9" ht="31.5" customHeight="1" x14ac:dyDescent="0.25">
      <c r="A6" s="201" t="s">
        <v>0</v>
      </c>
      <c r="B6" s="201" t="s">
        <v>197</v>
      </c>
      <c r="C6" s="201"/>
      <c r="D6" s="210" t="s">
        <v>155</v>
      </c>
      <c r="E6" s="209"/>
      <c r="F6" s="200" t="s">
        <v>198</v>
      </c>
      <c r="G6" s="200"/>
      <c r="H6" s="201" t="s">
        <v>199</v>
      </c>
      <c r="I6" s="201"/>
    </row>
    <row r="7" spans="1:9" x14ac:dyDescent="0.25">
      <c r="A7" s="201"/>
      <c r="B7" s="1">
        <v>2019</v>
      </c>
      <c r="C7" s="2">
        <v>2020</v>
      </c>
      <c r="D7" s="5">
        <v>2019</v>
      </c>
      <c r="E7" s="1">
        <v>2020</v>
      </c>
      <c r="F7" s="2">
        <v>2019</v>
      </c>
      <c r="G7" s="2">
        <v>2020</v>
      </c>
      <c r="H7" s="1" t="s">
        <v>1</v>
      </c>
      <c r="I7" s="3" t="s">
        <v>2</v>
      </c>
    </row>
    <row r="8" spans="1:9" x14ac:dyDescent="0.25">
      <c r="A8" s="8" t="s">
        <v>4</v>
      </c>
      <c r="B8" s="9">
        <v>3056.01</v>
      </c>
      <c r="C8" s="9">
        <v>3283.02</v>
      </c>
      <c r="D8" s="9">
        <v>6539</v>
      </c>
      <c r="E8" s="9">
        <v>6684</v>
      </c>
      <c r="F8" s="103">
        <f>IFERROR(B8/D8,"")</f>
        <v>0.46735127695366269</v>
      </c>
      <c r="G8" s="103">
        <f>IFERROR(C8/E8,"")</f>
        <v>0.49117594254937164</v>
      </c>
      <c r="H8" s="9">
        <f>IFERROR(C8-B8,"")</f>
        <v>227.00999999999976</v>
      </c>
      <c r="I8" s="103">
        <f>IFERROR((C8/B8)-1,"")</f>
        <v>7.4283133890268527E-2</v>
      </c>
    </row>
    <row r="9" spans="1:9" x14ac:dyDescent="0.25">
      <c r="A9" s="6" t="s">
        <v>5</v>
      </c>
      <c r="B9" s="10">
        <v>921.58999999999992</v>
      </c>
      <c r="C9" s="10">
        <v>997.36</v>
      </c>
      <c r="D9" s="10">
        <v>1695</v>
      </c>
      <c r="E9" s="10">
        <v>1753</v>
      </c>
      <c r="F9" s="113">
        <f t="shared" ref="F9:F49" si="0">IFERROR(B9/D9,"")</f>
        <v>0.54371091445427722</v>
      </c>
      <c r="G9" s="113">
        <f t="shared" ref="G9:G49" si="1">IFERROR(C9/E9,"")</f>
        <v>0.5689446662863662</v>
      </c>
      <c r="H9" s="10">
        <f t="shared" ref="H9:H49" si="2">IFERROR(C9-B9,"")</f>
        <v>75.770000000000095</v>
      </c>
      <c r="I9" s="113">
        <f t="shared" ref="I9:I49" si="3">IFERROR((C9/B9)-1,"")</f>
        <v>8.2216603912802944E-2</v>
      </c>
    </row>
    <row r="10" spans="1:9" x14ac:dyDescent="0.25">
      <c r="A10" s="6" t="s">
        <v>6</v>
      </c>
      <c r="B10" s="10">
        <v>7.169999999999999</v>
      </c>
      <c r="C10" s="10">
        <v>10.3</v>
      </c>
      <c r="D10" s="10">
        <v>16</v>
      </c>
      <c r="E10" s="10">
        <v>16</v>
      </c>
      <c r="F10" s="113">
        <f t="shared" si="0"/>
        <v>0.44812499999999994</v>
      </c>
      <c r="G10" s="113">
        <f t="shared" si="1"/>
        <v>0.64375000000000004</v>
      </c>
      <c r="H10" s="10">
        <f t="shared" si="2"/>
        <v>3.1300000000000017</v>
      </c>
      <c r="I10" s="113">
        <f t="shared" si="3"/>
        <v>0.43654114365411467</v>
      </c>
    </row>
    <row r="11" spans="1:9" x14ac:dyDescent="0.25">
      <c r="A11" s="6" t="s">
        <v>7</v>
      </c>
      <c r="B11" s="10">
        <v>4.4800000000000004</v>
      </c>
      <c r="C11" s="10">
        <v>7.48</v>
      </c>
      <c r="D11" s="10">
        <v>4</v>
      </c>
      <c r="E11" s="10">
        <v>7</v>
      </c>
      <c r="F11" s="113">
        <f t="shared" si="0"/>
        <v>1.1200000000000001</v>
      </c>
      <c r="G11" s="113">
        <f t="shared" si="1"/>
        <v>1.0685714285714287</v>
      </c>
      <c r="H11" s="10">
        <f t="shared" si="2"/>
        <v>3</v>
      </c>
      <c r="I11" s="113">
        <f t="shared" si="3"/>
        <v>0.66964285714285698</v>
      </c>
    </row>
    <row r="12" spans="1:9" x14ac:dyDescent="0.25">
      <c r="A12" s="6" t="s">
        <v>8</v>
      </c>
      <c r="B12" s="10">
        <v>31.369999999999994</v>
      </c>
      <c r="C12" s="10">
        <v>32.480000000000004</v>
      </c>
      <c r="D12" s="10">
        <v>95</v>
      </c>
      <c r="E12" s="10">
        <v>95</v>
      </c>
      <c r="F12" s="113">
        <f t="shared" si="0"/>
        <v>0.3302105263157894</v>
      </c>
      <c r="G12" s="113">
        <f t="shared" si="1"/>
        <v>0.34189473684210531</v>
      </c>
      <c r="H12" s="10">
        <f t="shared" si="2"/>
        <v>1.1100000000000101</v>
      </c>
      <c r="I12" s="113">
        <f t="shared" si="3"/>
        <v>3.5384124960153418E-2</v>
      </c>
    </row>
    <row r="13" spans="1:9" x14ac:dyDescent="0.25">
      <c r="A13" s="6" t="s">
        <v>9</v>
      </c>
      <c r="B13" s="10">
        <v>66.63000000000001</v>
      </c>
      <c r="C13" s="10">
        <v>79.41</v>
      </c>
      <c r="D13" s="10">
        <v>72</v>
      </c>
      <c r="E13" s="10">
        <v>151</v>
      </c>
      <c r="F13" s="113">
        <f t="shared" si="0"/>
        <v>0.92541666666666678</v>
      </c>
      <c r="G13" s="113">
        <f t="shared" si="1"/>
        <v>0.52589403973509929</v>
      </c>
      <c r="H13" s="10">
        <f t="shared" si="2"/>
        <v>12.779999999999987</v>
      </c>
      <c r="I13" s="113">
        <f t="shared" si="3"/>
        <v>0.19180549302116146</v>
      </c>
    </row>
    <row r="14" spans="1:9" x14ac:dyDescent="0.25">
      <c r="A14" s="6" t="s">
        <v>11</v>
      </c>
      <c r="B14" s="10">
        <v>1893.7600000000002</v>
      </c>
      <c r="C14" s="10">
        <v>2022.6799999999998</v>
      </c>
      <c r="D14" s="10">
        <v>4526</v>
      </c>
      <c r="E14" s="10">
        <v>4526</v>
      </c>
      <c r="F14" s="113">
        <f t="shared" si="0"/>
        <v>0.41841802916482551</v>
      </c>
      <c r="G14" s="113">
        <f t="shared" si="1"/>
        <v>0.44690234202386209</v>
      </c>
      <c r="H14" s="10">
        <f t="shared" si="2"/>
        <v>128.91999999999962</v>
      </c>
      <c r="I14" s="113">
        <f t="shared" si="3"/>
        <v>6.8076208178438513E-2</v>
      </c>
    </row>
    <row r="15" spans="1:9" x14ac:dyDescent="0.25">
      <c r="A15" s="6" t="s">
        <v>12</v>
      </c>
      <c r="B15" s="10">
        <v>131.01</v>
      </c>
      <c r="C15" s="10">
        <v>133.31</v>
      </c>
      <c r="D15" s="10">
        <v>131</v>
      </c>
      <c r="E15" s="10">
        <v>136</v>
      </c>
      <c r="F15" s="113">
        <f t="shared" si="0"/>
        <v>1.0000763358778626</v>
      </c>
      <c r="G15" s="113">
        <f t="shared" si="1"/>
        <v>0.98022058823529412</v>
      </c>
      <c r="H15" s="10">
        <f t="shared" si="2"/>
        <v>2.3000000000000114</v>
      </c>
      <c r="I15" s="113">
        <f t="shared" si="3"/>
        <v>1.7555911762461074E-2</v>
      </c>
    </row>
    <row r="16" spans="1:9" x14ac:dyDescent="0.25">
      <c r="A16" s="8" t="s">
        <v>43</v>
      </c>
      <c r="B16" s="9">
        <v>0.13</v>
      </c>
      <c r="C16" s="9">
        <v>0.13</v>
      </c>
      <c r="D16" s="9"/>
      <c r="E16" s="9"/>
      <c r="F16" s="103" t="str">
        <f t="shared" si="0"/>
        <v/>
      </c>
      <c r="G16" s="103" t="str">
        <f t="shared" si="1"/>
        <v/>
      </c>
      <c r="H16" s="9">
        <f t="shared" si="2"/>
        <v>0</v>
      </c>
      <c r="I16" s="103">
        <f t="shared" si="3"/>
        <v>0</v>
      </c>
    </row>
    <row r="17" spans="1:9" x14ac:dyDescent="0.25">
      <c r="A17" s="6" t="s">
        <v>44</v>
      </c>
      <c r="B17" s="10">
        <v>0.13</v>
      </c>
      <c r="C17" s="10">
        <v>0.13</v>
      </c>
      <c r="D17" s="10"/>
      <c r="E17" s="10"/>
      <c r="F17" s="113" t="str">
        <f t="shared" si="0"/>
        <v/>
      </c>
      <c r="G17" s="113" t="str">
        <f t="shared" si="1"/>
        <v/>
      </c>
      <c r="H17" s="10">
        <f t="shared" si="2"/>
        <v>0</v>
      </c>
      <c r="I17" s="113">
        <f t="shared" si="3"/>
        <v>0</v>
      </c>
    </row>
    <row r="18" spans="1:9" x14ac:dyDescent="0.25">
      <c r="A18" s="8" t="s">
        <v>13</v>
      </c>
      <c r="B18" s="9">
        <v>7.0000000000000007E-2</v>
      </c>
      <c r="C18" s="9">
        <v>0.05</v>
      </c>
      <c r="D18" s="9"/>
      <c r="E18" s="9"/>
      <c r="F18" s="103" t="str">
        <f t="shared" si="0"/>
        <v/>
      </c>
      <c r="G18" s="103" t="str">
        <f t="shared" si="1"/>
        <v/>
      </c>
      <c r="H18" s="9">
        <f t="shared" si="2"/>
        <v>-2.0000000000000004E-2</v>
      </c>
      <c r="I18" s="103">
        <f t="shared" si="3"/>
        <v>-0.2857142857142857</v>
      </c>
    </row>
    <row r="19" spans="1:9" x14ac:dyDescent="0.25">
      <c r="A19" s="6" t="s">
        <v>13</v>
      </c>
      <c r="B19" s="10">
        <v>7.0000000000000007E-2</v>
      </c>
      <c r="C19" s="10">
        <v>0.05</v>
      </c>
      <c r="D19" s="10"/>
      <c r="E19" s="10"/>
      <c r="F19" s="113" t="str">
        <f t="shared" si="0"/>
        <v/>
      </c>
      <c r="G19" s="113" t="str">
        <f t="shared" si="1"/>
        <v/>
      </c>
      <c r="H19" s="10">
        <f t="shared" si="2"/>
        <v>-2.0000000000000004E-2</v>
      </c>
      <c r="I19" s="113">
        <f t="shared" si="3"/>
        <v>-0.2857142857142857</v>
      </c>
    </row>
    <row r="20" spans="1:9" x14ac:dyDescent="0.25">
      <c r="A20" s="8" t="s">
        <v>14</v>
      </c>
      <c r="B20" s="9">
        <v>8820.3799999999956</v>
      </c>
      <c r="C20" s="9">
        <v>9249.23</v>
      </c>
      <c r="D20" s="9">
        <v>13778</v>
      </c>
      <c r="E20" s="9">
        <v>15108</v>
      </c>
      <c r="F20" s="103">
        <f t="shared" si="0"/>
        <v>0.64017854550733022</v>
      </c>
      <c r="G20" s="103">
        <f t="shared" si="1"/>
        <v>0.61220743976701086</v>
      </c>
      <c r="H20" s="9">
        <f t="shared" si="2"/>
        <v>428.850000000004</v>
      </c>
      <c r="I20" s="103">
        <f t="shared" si="3"/>
        <v>4.8620354225101803E-2</v>
      </c>
    </row>
    <row r="21" spans="1:9" x14ac:dyDescent="0.25">
      <c r="A21" s="6" t="s">
        <v>15</v>
      </c>
      <c r="B21" s="10">
        <v>8673.9799999999959</v>
      </c>
      <c r="C21" s="10">
        <v>9091.81</v>
      </c>
      <c r="D21" s="10">
        <v>13584</v>
      </c>
      <c r="E21" s="10">
        <v>14836</v>
      </c>
      <c r="F21" s="113">
        <f t="shared" si="0"/>
        <v>0.63854387514723177</v>
      </c>
      <c r="G21" s="113">
        <f t="shared" si="1"/>
        <v>0.61282084119708813</v>
      </c>
      <c r="H21" s="10">
        <f t="shared" si="2"/>
        <v>417.83000000000357</v>
      </c>
      <c r="I21" s="113">
        <f t="shared" si="3"/>
        <v>4.8170505350485504E-2</v>
      </c>
    </row>
    <row r="22" spans="1:9" x14ac:dyDescent="0.25">
      <c r="A22" s="6" t="s">
        <v>16</v>
      </c>
      <c r="B22" s="10">
        <v>35.94</v>
      </c>
      <c r="C22" s="10">
        <v>38.279999999999994</v>
      </c>
      <c r="D22" s="10">
        <v>70</v>
      </c>
      <c r="E22" s="10">
        <v>71</v>
      </c>
      <c r="F22" s="113">
        <f t="shared" si="0"/>
        <v>0.51342857142857135</v>
      </c>
      <c r="G22" s="113">
        <f t="shared" si="1"/>
        <v>0.53915492957746469</v>
      </c>
      <c r="H22" s="10">
        <f t="shared" si="2"/>
        <v>2.3399999999999963</v>
      </c>
      <c r="I22" s="113">
        <f t="shared" si="3"/>
        <v>6.5108514190317157E-2</v>
      </c>
    </row>
    <row r="23" spans="1:9" x14ac:dyDescent="0.25">
      <c r="A23" s="6" t="s">
        <v>17</v>
      </c>
      <c r="B23" s="10">
        <v>110.46000000000001</v>
      </c>
      <c r="C23" s="10">
        <v>119.14000000000001</v>
      </c>
      <c r="D23" s="10">
        <v>124</v>
      </c>
      <c r="E23" s="10">
        <v>201</v>
      </c>
      <c r="F23" s="113">
        <f t="shared" si="0"/>
        <v>0.89080645161290328</v>
      </c>
      <c r="G23" s="113">
        <f t="shared" si="1"/>
        <v>0.59273631840796026</v>
      </c>
      <c r="H23" s="10">
        <f t="shared" si="2"/>
        <v>8.6800000000000068</v>
      </c>
      <c r="I23" s="113">
        <f t="shared" si="3"/>
        <v>7.8580481622306797E-2</v>
      </c>
    </row>
    <row r="24" spans="1:9" x14ac:dyDescent="0.25">
      <c r="A24" s="8" t="s">
        <v>39</v>
      </c>
      <c r="B24" s="11"/>
      <c r="C24" s="9">
        <v>0.28000000000000003</v>
      </c>
      <c r="D24" s="9"/>
      <c r="E24" s="9"/>
      <c r="F24" s="103" t="str">
        <f t="shared" si="0"/>
        <v/>
      </c>
      <c r="G24" s="103" t="str">
        <f t="shared" si="1"/>
        <v/>
      </c>
      <c r="H24" s="9">
        <f t="shared" si="2"/>
        <v>0.28000000000000003</v>
      </c>
      <c r="I24" s="103" t="str">
        <f t="shared" si="3"/>
        <v/>
      </c>
    </row>
    <row r="25" spans="1:9" x14ac:dyDescent="0.25">
      <c r="A25" s="6" t="s">
        <v>45</v>
      </c>
      <c r="B25" s="10"/>
      <c r="C25" s="10">
        <v>0.28000000000000003</v>
      </c>
      <c r="D25" s="10"/>
      <c r="E25" s="10"/>
      <c r="F25" s="113" t="str">
        <f t="shared" si="0"/>
        <v/>
      </c>
      <c r="G25" s="113" t="str">
        <f t="shared" si="1"/>
        <v/>
      </c>
      <c r="H25" s="10">
        <f t="shared" si="2"/>
        <v>0.28000000000000003</v>
      </c>
      <c r="I25" s="113" t="str">
        <f t="shared" si="3"/>
        <v/>
      </c>
    </row>
    <row r="26" spans="1:9" x14ac:dyDescent="0.25">
      <c r="A26" s="8" t="s">
        <v>18</v>
      </c>
      <c r="B26" s="9">
        <v>0.15</v>
      </c>
      <c r="C26" s="9">
        <v>0.42000000000000004</v>
      </c>
      <c r="D26" s="9">
        <v>8</v>
      </c>
      <c r="E26" s="9">
        <v>8</v>
      </c>
      <c r="F26" s="103">
        <f t="shared" si="0"/>
        <v>1.8749999999999999E-2</v>
      </c>
      <c r="G26" s="103">
        <f t="shared" si="1"/>
        <v>5.2500000000000005E-2</v>
      </c>
      <c r="H26" s="9">
        <f t="shared" si="2"/>
        <v>0.27</v>
      </c>
      <c r="I26" s="103">
        <f t="shared" si="3"/>
        <v>1.8000000000000003</v>
      </c>
    </row>
    <row r="27" spans="1:9" x14ac:dyDescent="0.25">
      <c r="A27" s="6" t="s">
        <v>18</v>
      </c>
      <c r="B27" s="10">
        <v>0.15</v>
      </c>
      <c r="C27" s="10">
        <v>0.42000000000000004</v>
      </c>
      <c r="D27" s="10">
        <v>8</v>
      </c>
      <c r="E27" s="10">
        <v>8</v>
      </c>
      <c r="F27" s="113">
        <f t="shared" si="0"/>
        <v>1.8749999999999999E-2</v>
      </c>
      <c r="G27" s="113">
        <f t="shared" si="1"/>
        <v>5.2500000000000005E-2</v>
      </c>
      <c r="H27" s="10">
        <f t="shared" si="2"/>
        <v>0.27</v>
      </c>
      <c r="I27" s="113">
        <f t="shared" si="3"/>
        <v>1.8000000000000003</v>
      </c>
    </row>
    <row r="28" spans="1:9" x14ac:dyDescent="0.25">
      <c r="A28" s="8" t="s">
        <v>19</v>
      </c>
      <c r="B28" s="9">
        <v>31.959999999999997</v>
      </c>
      <c r="C28" s="9">
        <f>SUM(C29:C31)</f>
        <v>33.590000000000011</v>
      </c>
      <c r="D28" s="9">
        <v>30</v>
      </c>
      <c r="E28" s="9">
        <v>31</v>
      </c>
      <c r="F28" s="103">
        <f t="shared" si="0"/>
        <v>1.0653333333333332</v>
      </c>
      <c r="G28" s="103">
        <f t="shared" si="1"/>
        <v>1.0835483870967746</v>
      </c>
      <c r="H28" s="9">
        <f t="shared" si="2"/>
        <v>1.6300000000000132</v>
      </c>
      <c r="I28" s="103">
        <f t="shared" si="3"/>
        <v>5.1001251564456007E-2</v>
      </c>
    </row>
    <row r="29" spans="1:9" x14ac:dyDescent="0.25">
      <c r="A29" s="6" t="s">
        <v>20</v>
      </c>
      <c r="B29" s="10">
        <v>0.30000000000000004</v>
      </c>
      <c r="C29" s="10">
        <v>0.99</v>
      </c>
      <c r="D29" s="10">
        <v>1</v>
      </c>
      <c r="E29" s="10">
        <v>2</v>
      </c>
      <c r="F29" s="113">
        <f t="shared" si="0"/>
        <v>0.30000000000000004</v>
      </c>
      <c r="G29" s="113">
        <f t="shared" si="1"/>
        <v>0.495</v>
      </c>
      <c r="H29" s="10">
        <f t="shared" si="2"/>
        <v>0.69</v>
      </c>
      <c r="I29" s="113">
        <f t="shared" si="3"/>
        <v>2.2999999999999994</v>
      </c>
    </row>
    <row r="30" spans="1:9" x14ac:dyDescent="0.25">
      <c r="A30" s="6" t="s">
        <v>47</v>
      </c>
      <c r="B30" s="10">
        <v>0.18</v>
      </c>
      <c r="C30" s="10">
        <v>0.18</v>
      </c>
      <c r="D30" s="10"/>
      <c r="E30" s="10"/>
      <c r="F30" s="113" t="str">
        <f t="shared" si="0"/>
        <v/>
      </c>
      <c r="G30" s="113" t="str">
        <f t="shared" si="1"/>
        <v/>
      </c>
      <c r="H30" s="10">
        <f t="shared" si="2"/>
        <v>0</v>
      </c>
      <c r="I30" s="113">
        <f t="shared" si="3"/>
        <v>0</v>
      </c>
    </row>
    <row r="31" spans="1:9" x14ac:dyDescent="0.25">
      <c r="A31" s="6" t="s">
        <v>22</v>
      </c>
      <c r="B31" s="10">
        <v>31.479999999999997</v>
      </c>
      <c r="C31" s="10">
        <v>32.420000000000009</v>
      </c>
      <c r="D31" s="10">
        <v>29</v>
      </c>
      <c r="E31" s="10">
        <v>29</v>
      </c>
      <c r="F31" s="113">
        <f t="shared" si="0"/>
        <v>1.0855172413793102</v>
      </c>
      <c r="G31" s="113">
        <f t="shared" si="1"/>
        <v>1.1179310344827589</v>
      </c>
      <c r="H31" s="10">
        <f t="shared" si="2"/>
        <v>0.94000000000001194</v>
      </c>
      <c r="I31" s="113">
        <f t="shared" si="3"/>
        <v>2.9860228716645842E-2</v>
      </c>
    </row>
    <row r="32" spans="1:9" x14ac:dyDescent="0.25">
      <c r="A32" s="8" t="s">
        <v>23</v>
      </c>
      <c r="B32" s="9">
        <v>1.07</v>
      </c>
      <c r="C32" s="9">
        <v>0.8</v>
      </c>
      <c r="D32" s="9">
        <v>1</v>
      </c>
      <c r="E32" s="9">
        <v>1</v>
      </c>
      <c r="F32" s="103">
        <f t="shared" si="0"/>
        <v>1.07</v>
      </c>
      <c r="G32" s="103">
        <f t="shared" si="1"/>
        <v>0.8</v>
      </c>
      <c r="H32" s="9">
        <f t="shared" si="2"/>
        <v>-0.27</v>
      </c>
      <c r="I32" s="103">
        <f t="shared" si="3"/>
        <v>-0.25233644859813087</v>
      </c>
    </row>
    <row r="33" spans="1:9" x14ac:dyDescent="0.25">
      <c r="A33" s="6" t="s">
        <v>24</v>
      </c>
      <c r="B33" s="10">
        <v>0.28000000000000003</v>
      </c>
      <c r="C33" s="10">
        <v>0.28000000000000003</v>
      </c>
      <c r="D33" s="10"/>
      <c r="E33" s="10"/>
      <c r="F33" s="113" t="str">
        <f t="shared" si="0"/>
        <v/>
      </c>
      <c r="G33" s="113" t="str">
        <f t="shared" si="1"/>
        <v/>
      </c>
      <c r="H33" s="10">
        <f t="shared" si="2"/>
        <v>0</v>
      </c>
      <c r="I33" s="113">
        <f t="shared" si="3"/>
        <v>0</v>
      </c>
    </row>
    <row r="34" spans="1:9" x14ac:dyDescent="0.25">
      <c r="A34" s="6" t="s">
        <v>25</v>
      </c>
      <c r="B34" s="10">
        <v>0.79</v>
      </c>
      <c r="C34" s="10">
        <v>0.52</v>
      </c>
      <c r="D34" s="10">
        <v>1</v>
      </c>
      <c r="E34" s="10">
        <v>1</v>
      </c>
      <c r="F34" s="113">
        <f t="shared" si="0"/>
        <v>0.79</v>
      </c>
      <c r="G34" s="113">
        <f t="shared" si="1"/>
        <v>0.52</v>
      </c>
      <c r="H34" s="10">
        <f t="shared" si="2"/>
        <v>-0.27</v>
      </c>
      <c r="I34" s="113">
        <f t="shared" si="3"/>
        <v>-0.34177215189873422</v>
      </c>
    </row>
    <row r="35" spans="1:9" x14ac:dyDescent="0.25">
      <c r="A35" s="8" t="s">
        <v>26</v>
      </c>
      <c r="B35" s="9">
        <v>0.02</v>
      </c>
      <c r="C35" s="9">
        <v>0.02</v>
      </c>
      <c r="D35" s="9">
        <v>192</v>
      </c>
      <c r="E35" s="9">
        <v>193</v>
      </c>
      <c r="F35" s="103">
        <f t="shared" si="0"/>
        <v>1.0416666666666667E-4</v>
      </c>
      <c r="G35" s="103">
        <f t="shared" si="1"/>
        <v>1.0362694300518135E-4</v>
      </c>
      <c r="H35" s="9">
        <f t="shared" si="2"/>
        <v>0</v>
      </c>
      <c r="I35" s="103">
        <f t="shared" si="3"/>
        <v>0</v>
      </c>
    </row>
    <row r="36" spans="1:9" x14ac:dyDescent="0.25">
      <c r="A36" s="16" t="s">
        <v>27</v>
      </c>
      <c r="B36" s="15"/>
      <c r="C36" s="15"/>
      <c r="D36" s="28">
        <v>127</v>
      </c>
      <c r="E36" s="28">
        <v>127</v>
      </c>
      <c r="F36" s="138">
        <f t="shared" si="0"/>
        <v>0</v>
      </c>
      <c r="G36" s="138">
        <f t="shared" si="1"/>
        <v>0</v>
      </c>
      <c r="H36" s="15">
        <f t="shared" si="2"/>
        <v>0</v>
      </c>
      <c r="I36" s="138" t="str">
        <f t="shared" si="3"/>
        <v/>
      </c>
    </row>
    <row r="37" spans="1:9" x14ac:dyDescent="0.25">
      <c r="A37" s="6" t="s">
        <v>46</v>
      </c>
      <c r="B37" s="10">
        <v>0.02</v>
      </c>
      <c r="C37" s="10">
        <v>0.02</v>
      </c>
      <c r="D37" s="10">
        <v>14</v>
      </c>
      <c r="E37" s="10">
        <v>14</v>
      </c>
      <c r="F37" s="113">
        <f t="shared" si="0"/>
        <v>1.4285714285714286E-3</v>
      </c>
      <c r="G37" s="113">
        <f t="shared" si="1"/>
        <v>1.4285714285714286E-3</v>
      </c>
      <c r="H37" s="10">
        <f t="shared" si="2"/>
        <v>0</v>
      </c>
      <c r="I37" s="113">
        <f t="shared" si="3"/>
        <v>0</v>
      </c>
    </row>
    <row r="38" spans="1:9" x14ac:dyDescent="0.25">
      <c r="A38" s="6" t="s">
        <v>48</v>
      </c>
      <c r="B38" s="10"/>
      <c r="C38" s="10"/>
      <c r="D38" s="10">
        <v>1</v>
      </c>
      <c r="E38" s="10">
        <v>2</v>
      </c>
      <c r="F38" s="113">
        <f t="shared" si="0"/>
        <v>0</v>
      </c>
      <c r="G38" s="113">
        <f t="shared" si="1"/>
        <v>0</v>
      </c>
      <c r="H38" s="10">
        <f t="shared" si="2"/>
        <v>0</v>
      </c>
      <c r="I38" s="113" t="str">
        <f t="shared" si="3"/>
        <v/>
      </c>
    </row>
    <row r="39" spans="1:9" x14ac:dyDescent="0.25">
      <c r="A39" s="6" t="s">
        <v>49</v>
      </c>
      <c r="B39" s="10"/>
      <c r="C39" s="10"/>
      <c r="D39" s="10">
        <v>50</v>
      </c>
      <c r="E39" s="10">
        <v>50</v>
      </c>
      <c r="F39" s="113">
        <f t="shared" si="0"/>
        <v>0</v>
      </c>
      <c r="G39" s="113">
        <f t="shared" si="1"/>
        <v>0</v>
      </c>
      <c r="H39" s="10">
        <f t="shared" si="2"/>
        <v>0</v>
      </c>
      <c r="I39" s="113" t="str">
        <f t="shared" si="3"/>
        <v/>
      </c>
    </row>
    <row r="40" spans="1:9" x14ac:dyDescent="0.25">
      <c r="A40" s="8" t="s">
        <v>28</v>
      </c>
      <c r="B40" s="9">
        <v>47.459999999999994</v>
      </c>
      <c r="C40" s="9">
        <v>47.650000000000006</v>
      </c>
      <c r="D40" s="9">
        <v>185</v>
      </c>
      <c r="E40" s="9">
        <v>185</v>
      </c>
      <c r="F40" s="103">
        <f t="shared" si="0"/>
        <v>0.25654054054054048</v>
      </c>
      <c r="G40" s="103">
        <f t="shared" si="1"/>
        <v>0.2575675675675676</v>
      </c>
      <c r="H40" s="9">
        <f t="shared" si="2"/>
        <v>0.19000000000001194</v>
      </c>
      <c r="I40" s="103">
        <f t="shared" si="3"/>
        <v>4.0033712600087146E-3</v>
      </c>
    </row>
    <row r="41" spans="1:9" x14ac:dyDescent="0.25">
      <c r="A41" s="6" t="s">
        <v>28</v>
      </c>
      <c r="B41" s="10">
        <v>47.459999999999994</v>
      </c>
      <c r="C41" s="10">
        <v>47.650000000000006</v>
      </c>
      <c r="D41" s="10">
        <v>185</v>
      </c>
      <c r="E41" s="10">
        <v>185</v>
      </c>
      <c r="F41" s="113">
        <f t="shared" si="0"/>
        <v>0.25654054054054048</v>
      </c>
      <c r="G41" s="113">
        <f t="shared" si="1"/>
        <v>0.2575675675675676</v>
      </c>
      <c r="H41" s="10">
        <f t="shared" si="2"/>
        <v>0.19000000000001194</v>
      </c>
      <c r="I41" s="113">
        <f t="shared" si="3"/>
        <v>4.0033712600087146E-3</v>
      </c>
    </row>
    <row r="42" spans="1:9" x14ac:dyDescent="0.25">
      <c r="A42" s="8" t="s">
        <v>29</v>
      </c>
      <c r="B42" s="11"/>
      <c r="C42" s="9">
        <v>52.93</v>
      </c>
      <c r="D42" s="9">
        <v>260</v>
      </c>
      <c r="E42" s="9">
        <v>264</v>
      </c>
      <c r="F42" s="103">
        <f t="shared" si="0"/>
        <v>0</v>
      </c>
      <c r="G42" s="103">
        <f t="shared" si="1"/>
        <v>0.20049242424242425</v>
      </c>
      <c r="H42" s="9">
        <f>IFERROR(C42-B42,"")</f>
        <v>52.93</v>
      </c>
      <c r="I42" s="103" t="str">
        <f>IFERROR((C42/B42)-1,"")</f>
        <v/>
      </c>
    </row>
    <row r="43" spans="1:9" x14ac:dyDescent="0.25">
      <c r="A43" s="6" t="s">
        <v>30</v>
      </c>
      <c r="B43" s="10"/>
      <c r="C43" s="10">
        <v>44.83</v>
      </c>
      <c r="D43" s="10">
        <v>175</v>
      </c>
      <c r="E43" s="10">
        <v>177</v>
      </c>
      <c r="F43" s="113">
        <f t="shared" si="0"/>
        <v>0</v>
      </c>
      <c r="G43" s="113">
        <f t="shared" si="1"/>
        <v>0.25327683615819208</v>
      </c>
      <c r="H43" s="10">
        <f t="shared" si="2"/>
        <v>44.83</v>
      </c>
      <c r="I43" s="113" t="str">
        <f t="shared" si="3"/>
        <v/>
      </c>
    </row>
    <row r="44" spans="1:9" x14ac:dyDescent="0.25">
      <c r="A44" s="6" t="s">
        <v>31</v>
      </c>
      <c r="B44" s="10"/>
      <c r="C44" s="10">
        <v>8.1</v>
      </c>
      <c r="D44" s="10">
        <v>85</v>
      </c>
      <c r="E44" s="10">
        <v>87</v>
      </c>
      <c r="F44" s="113">
        <f t="shared" si="0"/>
        <v>0</v>
      </c>
      <c r="G44" s="113">
        <f t="shared" si="1"/>
        <v>9.3103448275862061E-2</v>
      </c>
      <c r="H44" s="10">
        <f t="shared" si="2"/>
        <v>8.1</v>
      </c>
      <c r="I44" s="113" t="str">
        <f t="shared" si="3"/>
        <v/>
      </c>
    </row>
    <row r="45" spans="1:9" x14ac:dyDescent="0.25">
      <c r="A45" s="8" t="s">
        <v>32</v>
      </c>
      <c r="B45" s="9">
        <v>14338.739999999987</v>
      </c>
      <c r="C45" s="9">
        <v>14484.839999999998</v>
      </c>
      <c r="D45" s="9">
        <v>25690</v>
      </c>
      <c r="E45" s="9">
        <v>25721</v>
      </c>
      <c r="F45" s="103">
        <f t="shared" si="0"/>
        <v>0.55814480342545691</v>
      </c>
      <c r="G45" s="103">
        <f t="shared" si="1"/>
        <v>0.56315228801368522</v>
      </c>
      <c r="H45" s="9">
        <f t="shared" si="2"/>
        <v>146.10000000001128</v>
      </c>
      <c r="I45" s="103">
        <f t="shared" si="3"/>
        <v>1.0189179802410298E-2</v>
      </c>
    </row>
    <row r="46" spans="1:9" x14ac:dyDescent="0.25">
      <c r="A46" s="6" t="s">
        <v>32</v>
      </c>
      <c r="B46" s="10">
        <v>14338.739999999987</v>
      </c>
      <c r="C46" s="10">
        <v>14484.839999999998</v>
      </c>
      <c r="D46" s="10">
        <v>25690</v>
      </c>
      <c r="E46" s="10">
        <v>25721</v>
      </c>
      <c r="F46" s="113">
        <f t="shared" si="0"/>
        <v>0.55814480342545691</v>
      </c>
      <c r="G46" s="113">
        <f t="shared" si="1"/>
        <v>0.56315228801368522</v>
      </c>
      <c r="H46" s="10">
        <f t="shared" si="2"/>
        <v>146.10000000001128</v>
      </c>
      <c r="I46" s="113">
        <f t="shared" si="3"/>
        <v>1.0189179802410298E-2</v>
      </c>
    </row>
    <row r="47" spans="1:9" x14ac:dyDescent="0.25">
      <c r="A47" s="8" t="s">
        <v>34</v>
      </c>
      <c r="B47" s="9"/>
      <c r="C47" s="9"/>
      <c r="D47" s="9">
        <v>1</v>
      </c>
      <c r="E47" s="9">
        <v>1</v>
      </c>
      <c r="F47" s="103">
        <f t="shared" si="0"/>
        <v>0</v>
      </c>
      <c r="G47" s="103">
        <f t="shared" si="1"/>
        <v>0</v>
      </c>
      <c r="H47" s="9">
        <f t="shared" si="2"/>
        <v>0</v>
      </c>
      <c r="I47" s="103" t="str">
        <f t="shared" si="3"/>
        <v/>
      </c>
    </row>
    <row r="48" spans="1:9" x14ac:dyDescent="0.25">
      <c r="A48" s="17" t="s">
        <v>50</v>
      </c>
      <c r="B48" s="10"/>
      <c r="C48" s="10"/>
      <c r="D48" s="10">
        <v>1</v>
      </c>
      <c r="E48" s="10">
        <v>1</v>
      </c>
      <c r="F48" s="113">
        <f t="shared" si="0"/>
        <v>0</v>
      </c>
      <c r="G48" s="113">
        <f t="shared" si="1"/>
        <v>0</v>
      </c>
      <c r="H48" s="10">
        <f t="shared" si="2"/>
        <v>0</v>
      </c>
      <c r="I48" s="113" t="str">
        <f t="shared" si="3"/>
        <v/>
      </c>
    </row>
    <row r="49" spans="1:10" x14ac:dyDescent="0.25">
      <c r="A49" s="7" t="s">
        <v>33</v>
      </c>
      <c r="B49" s="12">
        <v>26295.989999999983</v>
      </c>
      <c r="C49" s="12">
        <v>27152.959999999999</v>
      </c>
      <c r="D49" s="13">
        <v>46684</v>
      </c>
      <c r="E49" s="13">
        <v>48196</v>
      </c>
      <c r="F49" s="149">
        <f t="shared" si="0"/>
        <v>0.56327628309485012</v>
      </c>
      <c r="G49" s="149">
        <f t="shared" si="1"/>
        <v>0.56338617312640049</v>
      </c>
      <c r="H49" s="13">
        <f t="shared" si="2"/>
        <v>856.97000000001572</v>
      </c>
      <c r="I49" s="149">
        <f t="shared" si="3"/>
        <v>3.2589379597422141E-2</v>
      </c>
      <c r="J49" s="18"/>
    </row>
  </sheetData>
  <mergeCells count="5">
    <mergeCell ref="H6:I6"/>
    <mergeCell ref="A6:A7"/>
    <mergeCell ref="B6:C6"/>
    <mergeCell ref="D6:E6"/>
    <mergeCell ref="F6:G6"/>
  </mergeCells>
  <conditionalFormatting sqref="H8:I49">
    <cfRule type="cellIs" dxfId="1" priority="1" operator="lessThan">
      <formula>0</formula>
    </cfRule>
  </conditionalFormatting>
  <hyperlinks>
    <hyperlink ref="D1" r:id="rId1" location="INDICE!A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25" zoomScaleNormal="100" workbookViewId="0">
      <selection activeCell="C1" sqref="C1:D1"/>
    </sheetView>
  </sheetViews>
  <sheetFormatPr baseColWidth="10" defaultRowHeight="15" x14ac:dyDescent="0.25"/>
  <cols>
    <col min="1" max="1" width="25.42578125" customWidth="1"/>
    <col min="6" max="6" width="17" customWidth="1"/>
    <col min="7" max="7" width="17.140625" customWidth="1"/>
    <col min="8" max="8" width="14.7109375" customWidth="1"/>
    <col min="9" max="9" width="13.85546875" customWidth="1"/>
  </cols>
  <sheetData>
    <row r="1" spans="1:9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9" x14ac:dyDescent="0.25">
      <c r="F2" t="s">
        <v>184</v>
      </c>
    </row>
    <row r="3" spans="1:9" x14ac:dyDescent="0.25">
      <c r="F3" t="s">
        <v>157</v>
      </c>
    </row>
    <row r="4" spans="1:9" ht="15" customHeight="1" x14ac:dyDescent="0.3">
      <c r="F4" t="s">
        <v>191</v>
      </c>
      <c r="G4" s="104"/>
      <c r="H4" s="104"/>
      <c r="I4" s="104"/>
    </row>
    <row r="5" spans="1:9" ht="18.75" x14ac:dyDescent="0.3">
      <c r="A5" s="100" t="s">
        <v>42</v>
      </c>
      <c r="B5" s="104"/>
      <c r="C5" s="104"/>
      <c r="D5" s="105"/>
      <c r="E5" s="106"/>
      <c r="F5" s="123"/>
      <c r="G5" s="4"/>
      <c r="H5" s="4"/>
      <c r="I5" s="4"/>
    </row>
    <row r="6" spans="1:9" ht="29.25" customHeight="1" x14ac:dyDescent="0.25">
      <c r="A6" s="201" t="s">
        <v>0</v>
      </c>
      <c r="B6" s="201" t="s">
        <v>197</v>
      </c>
      <c r="C6" s="201"/>
      <c r="D6" s="210" t="s">
        <v>155</v>
      </c>
      <c r="E6" s="209"/>
      <c r="F6" s="200" t="s">
        <v>198</v>
      </c>
      <c r="G6" s="200"/>
      <c r="H6" s="201" t="s">
        <v>199</v>
      </c>
      <c r="I6" s="201"/>
    </row>
    <row r="7" spans="1:9" x14ac:dyDescent="0.25">
      <c r="A7" s="201"/>
      <c r="B7" s="1">
        <v>2019</v>
      </c>
      <c r="C7" s="2">
        <v>2020</v>
      </c>
      <c r="D7" s="5">
        <v>2019</v>
      </c>
      <c r="E7" s="1">
        <v>2020</v>
      </c>
      <c r="F7" s="2">
        <v>2019</v>
      </c>
      <c r="G7" s="2">
        <v>2020</v>
      </c>
      <c r="H7" s="1" t="s">
        <v>1</v>
      </c>
      <c r="I7" s="3" t="s">
        <v>2</v>
      </c>
    </row>
    <row r="8" spans="1:9" x14ac:dyDescent="0.25">
      <c r="A8" s="8" t="s">
        <v>4</v>
      </c>
      <c r="B8" s="9">
        <v>637.16000000000008</v>
      </c>
      <c r="C8" s="9">
        <v>753.16</v>
      </c>
      <c r="D8" s="9">
        <v>686</v>
      </c>
      <c r="E8" s="9">
        <v>877</v>
      </c>
      <c r="F8" s="103">
        <f>IFERROR(B8/D8,"")</f>
        <v>0.92880466472303214</v>
      </c>
      <c r="G8" s="103">
        <f>IFERROR(C8/E8,"")</f>
        <v>0.8587913340935005</v>
      </c>
      <c r="H8" s="95">
        <f>IFERROR(C8-B8,"")</f>
        <v>115.99999999999989</v>
      </c>
      <c r="I8" s="103">
        <f>IFERROR((C8/B8)-1,"")</f>
        <v>0.18205788185071237</v>
      </c>
    </row>
    <row r="9" spans="1:9" x14ac:dyDescent="0.25">
      <c r="A9" s="6" t="s">
        <v>5</v>
      </c>
      <c r="B9" s="10">
        <v>78.160000000000011</v>
      </c>
      <c r="C9" s="10">
        <v>85.66</v>
      </c>
      <c r="D9" s="10">
        <v>53</v>
      </c>
      <c r="E9" s="10">
        <v>130</v>
      </c>
      <c r="F9" s="113">
        <f t="shared" ref="F9:F31" si="0">IFERROR(B9/D9,"")</f>
        <v>1.4747169811320757</v>
      </c>
      <c r="G9" s="113">
        <f t="shared" ref="G9:G31" si="1">IFERROR(C9/E9,"")</f>
        <v>0.65892307692307694</v>
      </c>
      <c r="H9" s="21">
        <f t="shared" ref="H9:H31" si="2">IFERROR(C9-B9,"")</f>
        <v>7.4999999999999858</v>
      </c>
      <c r="I9" s="113">
        <f t="shared" ref="I9:I31" si="3">IFERROR((C9/B9)-1,"")</f>
        <v>9.5957011258955838E-2</v>
      </c>
    </row>
    <row r="10" spans="1:9" x14ac:dyDescent="0.25">
      <c r="A10" s="6" t="s">
        <v>6</v>
      </c>
      <c r="B10" s="10">
        <v>81.86</v>
      </c>
      <c r="C10" s="10">
        <v>81.739999999999995</v>
      </c>
      <c r="D10" s="10">
        <v>116</v>
      </c>
      <c r="E10" s="10">
        <v>116</v>
      </c>
      <c r="F10" s="113">
        <f t="shared" si="0"/>
        <v>0.70568965517241378</v>
      </c>
      <c r="G10" s="113">
        <f t="shared" si="1"/>
        <v>0.70465517241379305</v>
      </c>
      <c r="H10" s="21">
        <f t="shared" si="2"/>
        <v>-0.12000000000000455</v>
      </c>
      <c r="I10" s="113">
        <f t="shared" si="3"/>
        <v>-1.4659174199853631E-3</v>
      </c>
    </row>
    <row r="11" spans="1:9" x14ac:dyDescent="0.25">
      <c r="A11" s="6" t="s">
        <v>7</v>
      </c>
      <c r="B11" s="10">
        <v>91.65</v>
      </c>
      <c r="C11" s="10">
        <v>129.81</v>
      </c>
      <c r="D11" s="10">
        <v>92</v>
      </c>
      <c r="E11" s="10">
        <v>130</v>
      </c>
      <c r="F11" s="113">
        <f t="shared" si="0"/>
        <v>0.99619565217391315</v>
      </c>
      <c r="G11" s="113">
        <f t="shared" si="1"/>
        <v>0.9985384615384616</v>
      </c>
      <c r="H11" s="21">
        <f t="shared" si="2"/>
        <v>38.159999999999997</v>
      </c>
      <c r="I11" s="113">
        <f t="shared" si="3"/>
        <v>0.416366612111293</v>
      </c>
    </row>
    <row r="12" spans="1:9" x14ac:dyDescent="0.25">
      <c r="A12" s="6" t="s">
        <v>8</v>
      </c>
      <c r="B12" s="10"/>
      <c r="C12" s="10"/>
      <c r="D12" s="10">
        <v>2</v>
      </c>
      <c r="E12" s="10">
        <v>2</v>
      </c>
      <c r="F12" s="113">
        <f t="shared" si="0"/>
        <v>0</v>
      </c>
      <c r="G12" s="113">
        <f t="shared" si="1"/>
        <v>0</v>
      </c>
      <c r="H12" s="21">
        <f t="shared" si="2"/>
        <v>0</v>
      </c>
      <c r="I12" s="113" t="str">
        <f t="shared" si="3"/>
        <v/>
      </c>
    </row>
    <row r="13" spans="1:9" x14ac:dyDescent="0.25">
      <c r="A13" s="6" t="s">
        <v>9</v>
      </c>
      <c r="B13" s="10">
        <v>61.389999999999993</v>
      </c>
      <c r="C13" s="10">
        <v>60.64</v>
      </c>
      <c r="D13" s="10">
        <v>83</v>
      </c>
      <c r="E13" s="10">
        <v>95</v>
      </c>
      <c r="F13" s="113">
        <f t="shared" si="0"/>
        <v>0.73963855421686742</v>
      </c>
      <c r="G13" s="113">
        <f t="shared" si="1"/>
        <v>0.63831578947368417</v>
      </c>
      <c r="H13" s="21">
        <f t="shared" si="2"/>
        <v>-0.74999999999999289</v>
      </c>
      <c r="I13" s="113">
        <f t="shared" si="3"/>
        <v>-1.2216973448444302E-2</v>
      </c>
    </row>
    <row r="14" spans="1:9" x14ac:dyDescent="0.25">
      <c r="A14" s="6" t="s">
        <v>11</v>
      </c>
      <c r="B14" s="10">
        <v>23.650000000000006</v>
      </c>
      <c r="C14" s="10">
        <v>43.39</v>
      </c>
      <c r="D14" s="10">
        <v>40</v>
      </c>
      <c r="E14" s="10">
        <v>43</v>
      </c>
      <c r="F14" s="113">
        <f t="shared" si="0"/>
        <v>0.59125000000000016</v>
      </c>
      <c r="G14" s="113">
        <f t="shared" si="1"/>
        <v>1.0090697674418605</v>
      </c>
      <c r="H14" s="21">
        <f t="shared" si="2"/>
        <v>19.739999999999995</v>
      </c>
      <c r="I14" s="113">
        <f t="shared" si="3"/>
        <v>0.83467230443974594</v>
      </c>
    </row>
    <row r="15" spans="1:9" x14ac:dyDescent="0.25">
      <c r="A15" s="6" t="s">
        <v>12</v>
      </c>
      <c r="B15" s="10">
        <v>300.45</v>
      </c>
      <c r="C15" s="10">
        <v>351.92</v>
      </c>
      <c r="D15" s="10">
        <v>300</v>
      </c>
      <c r="E15" s="10">
        <v>361</v>
      </c>
      <c r="F15" s="113">
        <f t="shared" si="0"/>
        <v>1.0015000000000001</v>
      </c>
      <c r="G15" s="113">
        <f t="shared" si="1"/>
        <v>0.97484764542936297</v>
      </c>
      <c r="H15" s="21">
        <f t="shared" si="2"/>
        <v>51.470000000000027</v>
      </c>
      <c r="I15" s="113">
        <f t="shared" si="3"/>
        <v>0.17130970211349661</v>
      </c>
    </row>
    <row r="16" spans="1:9" x14ac:dyDescent="0.25">
      <c r="A16" s="8" t="s">
        <v>14</v>
      </c>
      <c r="B16" s="9">
        <v>395.28</v>
      </c>
      <c r="C16" s="9">
        <v>459.25999999999988</v>
      </c>
      <c r="D16" s="9">
        <v>773</v>
      </c>
      <c r="E16" s="9">
        <v>717</v>
      </c>
      <c r="F16" s="103">
        <f t="shared" si="0"/>
        <v>0.51135834411384218</v>
      </c>
      <c r="G16" s="103">
        <f t="shared" si="1"/>
        <v>0.64052998605299838</v>
      </c>
      <c r="H16" s="95">
        <f t="shared" si="2"/>
        <v>63.979999999999905</v>
      </c>
      <c r="I16" s="103">
        <f t="shared" si="3"/>
        <v>0.16185994737907272</v>
      </c>
    </row>
    <row r="17" spans="1:9" x14ac:dyDescent="0.25">
      <c r="A17" s="6" t="s">
        <v>15</v>
      </c>
      <c r="B17" s="10">
        <v>157.73999999999998</v>
      </c>
      <c r="C17" s="10">
        <v>187.28</v>
      </c>
      <c r="D17" s="10">
        <v>290</v>
      </c>
      <c r="E17" s="10">
        <v>210</v>
      </c>
      <c r="F17" s="113">
        <f t="shared" si="0"/>
        <v>0.54393103448275859</v>
      </c>
      <c r="G17" s="113">
        <f t="shared" si="1"/>
        <v>0.89180952380952383</v>
      </c>
      <c r="H17" s="21">
        <f t="shared" si="2"/>
        <v>29.54000000000002</v>
      </c>
      <c r="I17" s="113">
        <f t="shared" si="3"/>
        <v>0.18727019145429202</v>
      </c>
    </row>
    <row r="18" spans="1:9" x14ac:dyDescent="0.25">
      <c r="A18" s="6" t="s">
        <v>16</v>
      </c>
      <c r="B18" s="10">
        <v>0.66000000000000014</v>
      </c>
      <c r="C18" s="10">
        <v>0.63000000000000012</v>
      </c>
      <c r="D18" s="10">
        <v>17</v>
      </c>
      <c r="E18" s="10">
        <v>17</v>
      </c>
      <c r="F18" s="113">
        <f t="shared" si="0"/>
        <v>3.8823529411764715E-2</v>
      </c>
      <c r="G18" s="113">
        <f t="shared" si="1"/>
        <v>3.7058823529411769E-2</v>
      </c>
      <c r="H18" s="21">
        <f t="shared" si="2"/>
        <v>-3.0000000000000027E-2</v>
      </c>
      <c r="I18" s="113">
        <f t="shared" si="3"/>
        <v>-4.5454545454545525E-2</v>
      </c>
    </row>
    <row r="19" spans="1:9" x14ac:dyDescent="0.25">
      <c r="A19" s="6" t="s">
        <v>17</v>
      </c>
      <c r="B19" s="10">
        <v>236.88000000000002</v>
      </c>
      <c r="C19" s="10">
        <v>271.34999999999991</v>
      </c>
      <c r="D19" s="10">
        <v>466</v>
      </c>
      <c r="E19" s="10">
        <v>490</v>
      </c>
      <c r="F19" s="113">
        <f t="shared" si="0"/>
        <v>0.50832618025751075</v>
      </c>
      <c r="G19" s="113">
        <f t="shared" si="1"/>
        <v>0.55377551020408144</v>
      </c>
      <c r="H19" s="21">
        <f t="shared" si="2"/>
        <v>34.469999999999885</v>
      </c>
      <c r="I19" s="113">
        <f t="shared" si="3"/>
        <v>0.14551671732522742</v>
      </c>
    </row>
    <row r="20" spans="1:9" x14ac:dyDescent="0.25">
      <c r="A20" s="8" t="s">
        <v>18</v>
      </c>
      <c r="B20" s="11"/>
      <c r="C20" s="9">
        <v>7.0000000000000007E-2</v>
      </c>
      <c r="D20" s="11"/>
      <c r="E20" s="11"/>
      <c r="F20" s="143" t="str">
        <f t="shared" si="0"/>
        <v/>
      </c>
      <c r="G20" s="143" t="str">
        <f t="shared" si="1"/>
        <v/>
      </c>
      <c r="H20" s="96">
        <f t="shared" si="2"/>
        <v>7.0000000000000007E-2</v>
      </c>
      <c r="I20" s="143" t="str">
        <f t="shared" si="3"/>
        <v/>
      </c>
    </row>
    <row r="21" spans="1:9" x14ac:dyDescent="0.25">
      <c r="A21" s="6" t="s">
        <v>18</v>
      </c>
      <c r="B21" s="10"/>
      <c r="C21" s="10">
        <v>7.0000000000000007E-2</v>
      </c>
      <c r="D21" s="10"/>
      <c r="E21" s="10"/>
      <c r="F21" s="113" t="str">
        <f t="shared" si="0"/>
        <v/>
      </c>
      <c r="G21" s="113" t="str">
        <f t="shared" si="1"/>
        <v/>
      </c>
      <c r="H21" s="21">
        <f t="shared" si="2"/>
        <v>7.0000000000000007E-2</v>
      </c>
      <c r="I21" s="113" t="str">
        <f t="shared" si="3"/>
        <v/>
      </c>
    </row>
    <row r="22" spans="1:9" x14ac:dyDescent="0.25">
      <c r="A22" s="8" t="s">
        <v>19</v>
      </c>
      <c r="B22" s="9">
        <v>0.43000000000000005</v>
      </c>
      <c r="C22" s="9">
        <v>2.02</v>
      </c>
      <c r="D22" s="9"/>
      <c r="E22" s="9">
        <v>1</v>
      </c>
      <c r="F22" s="103" t="str">
        <f t="shared" si="0"/>
        <v/>
      </c>
      <c r="G22" s="103">
        <f t="shared" si="1"/>
        <v>2.02</v>
      </c>
      <c r="H22" s="95">
        <f t="shared" si="2"/>
        <v>1.5899999999999999</v>
      </c>
      <c r="I22" s="103">
        <f t="shared" si="3"/>
        <v>3.6976744186046506</v>
      </c>
    </row>
    <row r="23" spans="1:9" x14ac:dyDescent="0.25">
      <c r="A23" s="6" t="s">
        <v>22</v>
      </c>
      <c r="B23" s="10">
        <v>0.43000000000000005</v>
      </c>
      <c r="C23" s="10">
        <v>2.02</v>
      </c>
      <c r="D23" s="10"/>
      <c r="E23" s="10">
        <v>1</v>
      </c>
      <c r="F23" s="113" t="str">
        <f t="shared" si="0"/>
        <v/>
      </c>
      <c r="G23" s="113">
        <f t="shared" si="1"/>
        <v>2.02</v>
      </c>
      <c r="H23" s="21">
        <f t="shared" si="2"/>
        <v>1.5899999999999999</v>
      </c>
      <c r="I23" s="113">
        <f t="shared" si="3"/>
        <v>3.6976744186046506</v>
      </c>
    </row>
    <row r="24" spans="1:9" x14ac:dyDescent="0.25">
      <c r="A24" s="8" t="s">
        <v>28</v>
      </c>
      <c r="B24" s="9">
        <v>0.47</v>
      </c>
      <c r="C24" s="9">
        <v>0.29000000000000004</v>
      </c>
      <c r="D24" s="9">
        <v>7</v>
      </c>
      <c r="E24" s="9">
        <v>7</v>
      </c>
      <c r="F24" s="103">
        <f t="shared" si="0"/>
        <v>6.7142857142857143E-2</v>
      </c>
      <c r="G24" s="103">
        <f t="shared" si="1"/>
        <v>4.1428571428571433E-2</v>
      </c>
      <c r="H24" s="95">
        <f t="shared" si="2"/>
        <v>-0.17999999999999994</v>
      </c>
      <c r="I24" s="103">
        <f t="shared" si="3"/>
        <v>-0.38297872340425521</v>
      </c>
    </row>
    <row r="25" spans="1:9" x14ac:dyDescent="0.25">
      <c r="A25" s="6" t="s">
        <v>28</v>
      </c>
      <c r="B25" s="10">
        <v>0.47</v>
      </c>
      <c r="C25" s="10">
        <v>0.29000000000000004</v>
      </c>
      <c r="D25" s="10">
        <v>7</v>
      </c>
      <c r="E25" s="10">
        <v>7</v>
      </c>
      <c r="F25" s="113">
        <f t="shared" si="0"/>
        <v>6.7142857142857143E-2</v>
      </c>
      <c r="G25" s="113">
        <f t="shared" si="1"/>
        <v>4.1428571428571433E-2</v>
      </c>
      <c r="H25" s="21">
        <f t="shared" si="2"/>
        <v>-0.17999999999999994</v>
      </c>
      <c r="I25" s="113">
        <f t="shared" si="3"/>
        <v>-0.38297872340425521</v>
      </c>
    </row>
    <row r="26" spans="1:9" x14ac:dyDescent="0.25">
      <c r="A26" s="8" t="s">
        <v>29</v>
      </c>
      <c r="B26" s="11"/>
      <c r="C26" s="9">
        <v>1.26</v>
      </c>
      <c r="D26" s="11">
        <v>11</v>
      </c>
      <c r="E26" s="11">
        <v>12</v>
      </c>
      <c r="F26" s="143">
        <f t="shared" si="0"/>
        <v>0</v>
      </c>
      <c r="G26" s="143">
        <f t="shared" si="1"/>
        <v>0.105</v>
      </c>
      <c r="H26" s="96">
        <f t="shared" si="2"/>
        <v>1.26</v>
      </c>
      <c r="I26" s="143" t="str">
        <f t="shared" si="3"/>
        <v/>
      </c>
    </row>
    <row r="27" spans="1:9" x14ac:dyDescent="0.25">
      <c r="A27" s="6" t="s">
        <v>30</v>
      </c>
      <c r="B27" s="10"/>
      <c r="C27" s="10">
        <v>1.1000000000000001</v>
      </c>
      <c r="D27" s="10">
        <v>10</v>
      </c>
      <c r="E27" s="10">
        <v>11</v>
      </c>
      <c r="F27" s="113">
        <f t="shared" si="0"/>
        <v>0</v>
      </c>
      <c r="G27" s="113">
        <f t="shared" si="1"/>
        <v>0.1</v>
      </c>
      <c r="H27" s="21">
        <f t="shared" si="2"/>
        <v>1.1000000000000001</v>
      </c>
      <c r="I27" s="113" t="str">
        <f t="shared" si="3"/>
        <v/>
      </c>
    </row>
    <row r="28" spans="1:9" x14ac:dyDescent="0.25">
      <c r="A28" s="6" t="s">
        <v>31</v>
      </c>
      <c r="B28" s="10"/>
      <c r="C28" s="10">
        <v>0.16</v>
      </c>
      <c r="D28" s="10">
        <v>1</v>
      </c>
      <c r="E28" s="10">
        <v>1</v>
      </c>
      <c r="F28" s="113">
        <f t="shared" si="0"/>
        <v>0</v>
      </c>
      <c r="G28" s="113">
        <f t="shared" si="1"/>
        <v>0.16</v>
      </c>
      <c r="H28" s="21">
        <f t="shared" si="2"/>
        <v>0.16</v>
      </c>
      <c r="I28" s="113" t="str">
        <f t="shared" si="3"/>
        <v/>
      </c>
    </row>
    <row r="29" spans="1:9" x14ac:dyDescent="0.25">
      <c r="A29" s="8" t="s">
        <v>32</v>
      </c>
      <c r="B29" s="9">
        <v>856.16</v>
      </c>
      <c r="C29" s="9">
        <v>857.36</v>
      </c>
      <c r="D29" s="9">
        <v>957</v>
      </c>
      <c r="E29" s="9">
        <v>1014</v>
      </c>
      <c r="F29" s="103">
        <f t="shared" si="0"/>
        <v>0.89462904911180774</v>
      </c>
      <c r="G29" s="103">
        <f t="shared" si="1"/>
        <v>0.84552268244575934</v>
      </c>
      <c r="H29" s="95">
        <f t="shared" si="2"/>
        <v>1.2000000000000455</v>
      </c>
      <c r="I29" s="103">
        <f t="shared" si="3"/>
        <v>1.4016071762288362E-3</v>
      </c>
    </row>
    <row r="30" spans="1:9" x14ac:dyDescent="0.25">
      <c r="A30" s="6" t="s">
        <v>32</v>
      </c>
      <c r="B30" s="10">
        <v>856.16</v>
      </c>
      <c r="C30" s="10">
        <v>857.36</v>
      </c>
      <c r="D30" s="10">
        <v>957</v>
      </c>
      <c r="E30" s="10">
        <v>1014</v>
      </c>
      <c r="F30" s="113">
        <f t="shared" si="0"/>
        <v>0.89462904911180774</v>
      </c>
      <c r="G30" s="113">
        <f t="shared" si="1"/>
        <v>0.84552268244575934</v>
      </c>
      <c r="H30" s="21">
        <f t="shared" si="2"/>
        <v>1.2000000000000455</v>
      </c>
      <c r="I30" s="113">
        <f t="shared" si="3"/>
        <v>1.4016071762288362E-3</v>
      </c>
    </row>
    <row r="31" spans="1:9" x14ac:dyDescent="0.25">
      <c r="A31" s="7" t="s">
        <v>33</v>
      </c>
      <c r="B31" s="12">
        <v>1889.5</v>
      </c>
      <c r="C31" s="13">
        <v>2073.42</v>
      </c>
      <c r="D31" s="12">
        <v>2434</v>
      </c>
      <c r="E31" s="12">
        <v>2628</v>
      </c>
      <c r="F31" s="144">
        <f t="shared" si="0"/>
        <v>0.7762941659819228</v>
      </c>
      <c r="G31" s="144">
        <f t="shared" si="1"/>
        <v>0.78897260273972603</v>
      </c>
      <c r="H31" s="22">
        <f t="shared" si="2"/>
        <v>183.92000000000007</v>
      </c>
      <c r="I31" s="144">
        <f t="shared" si="3"/>
        <v>9.7337920084678453E-2</v>
      </c>
    </row>
  </sheetData>
  <mergeCells count="5">
    <mergeCell ref="H6:I6"/>
    <mergeCell ref="A6:A7"/>
    <mergeCell ref="B6:C6"/>
    <mergeCell ref="D6:E6"/>
    <mergeCell ref="F6:G6"/>
  </mergeCells>
  <conditionalFormatting sqref="H8:I31">
    <cfRule type="cellIs" dxfId="0" priority="1" operator="lessThan">
      <formula>0</formula>
    </cfRule>
  </conditionalFormatting>
  <hyperlinks>
    <hyperlink ref="D1" r:id="rId1" location="INDICE!A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opLeftCell="S1" zoomScaleNormal="100" workbookViewId="0">
      <selection activeCell="AA15" sqref="AA15"/>
    </sheetView>
  </sheetViews>
  <sheetFormatPr baseColWidth="10" defaultRowHeight="15" x14ac:dyDescent="0.25"/>
  <cols>
    <col min="1" max="1" width="25.5703125" customWidth="1"/>
    <col min="24" max="24" width="17.28515625" customWidth="1"/>
    <col min="25" max="25" width="15.5703125" customWidth="1"/>
    <col min="26" max="26" width="14.28515625" customWidth="1"/>
    <col min="27" max="27" width="12" bestFit="1" customWidth="1"/>
  </cols>
  <sheetData>
    <row r="1" spans="1:27" x14ac:dyDescent="0.25">
      <c r="C1" s="30" t="s">
        <v>51</v>
      </c>
      <c r="D1" s="182" t="s">
        <v>52</v>
      </c>
      <c r="E1" s="30" t="s">
        <v>156</v>
      </c>
      <c r="F1" t="s">
        <v>189</v>
      </c>
    </row>
    <row r="2" spans="1:27" ht="18.75" x14ac:dyDescent="0.3">
      <c r="A2" s="35" t="s">
        <v>3</v>
      </c>
      <c r="D2" s="30"/>
      <c r="E2" s="31"/>
    </row>
    <row r="3" spans="1:27" ht="36" customHeight="1" x14ac:dyDescent="0.25">
      <c r="A3" s="32" t="s">
        <v>0</v>
      </c>
      <c r="B3" s="33" t="s">
        <v>188</v>
      </c>
      <c r="C3" s="33">
        <v>2000</v>
      </c>
      <c r="D3" s="38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7" x14ac:dyDescent="0.25">
      <c r="A4" s="14" t="s">
        <v>4</v>
      </c>
      <c r="B4" s="40">
        <v>14510.69</v>
      </c>
      <c r="C4" s="40">
        <v>3426.8999999999996</v>
      </c>
      <c r="D4" s="40">
        <v>1040.3700000000001</v>
      </c>
      <c r="E4" s="40">
        <v>1328.48</v>
      </c>
      <c r="F4" s="40">
        <v>1663.69</v>
      </c>
      <c r="G4" s="40">
        <v>2611.38</v>
      </c>
      <c r="H4" s="40">
        <v>3515.8599999999997</v>
      </c>
      <c r="I4" s="40">
        <v>3957.35</v>
      </c>
      <c r="J4" s="40">
        <v>2331.37</v>
      </c>
      <c r="K4" s="40">
        <v>1767.3300000000002</v>
      </c>
      <c r="L4" s="40">
        <v>1530.41</v>
      </c>
      <c r="M4" s="40">
        <v>1424.5299999999997</v>
      </c>
      <c r="N4" s="40">
        <v>887.28</v>
      </c>
      <c r="O4" s="40">
        <v>689.32999999999993</v>
      </c>
      <c r="P4" s="40">
        <v>999.49999999999989</v>
      </c>
      <c r="Q4" s="40">
        <v>603.70000000000005</v>
      </c>
      <c r="R4" s="40">
        <v>730.83999999999992</v>
      </c>
      <c r="S4" s="40">
        <v>949.33</v>
      </c>
      <c r="T4" s="40">
        <v>1141.82</v>
      </c>
      <c r="U4" s="40">
        <v>2417.15</v>
      </c>
      <c r="V4" s="40">
        <v>1808.9499999999998</v>
      </c>
      <c r="W4" s="40">
        <v>993.54</v>
      </c>
      <c r="X4" s="40">
        <v>24.849999999999994</v>
      </c>
      <c r="Y4" s="40">
        <v>50354.649999999994</v>
      </c>
      <c r="Z4" s="145">
        <f>Y4/$Y$37</f>
        <v>0.46979804095047756</v>
      </c>
      <c r="AA4" s="197">
        <f>SUM(C4:X4)</f>
        <v>35843.96</v>
      </c>
    </row>
    <row r="5" spans="1:27" x14ac:dyDescent="0.25">
      <c r="A5" s="6" t="s">
        <v>5</v>
      </c>
      <c r="B5" s="10">
        <v>838.27</v>
      </c>
      <c r="C5" s="10">
        <v>207.29999999999998</v>
      </c>
      <c r="D5" s="10">
        <v>102.03</v>
      </c>
      <c r="E5" s="10">
        <v>15.159999999999998</v>
      </c>
      <c r="F5" s="10">
        <v>73.48</v>
      </c>
      <c r="G5" s="10">
        <v>158.27999999999997</v>
      </c>
      <c r="H5" s="10">
        <v>119.96000000000001</v>
      </c>
      <c r="I5" s="10">
        <v>25.659999999999997</v>
      </c>
      <c r="J5" s="10">
        <v>48.84</v>
      </c>
      <c r="K5" s="10">
        <v>48.19</v>
      </c>
      <c r="L5" s="10">
        <v>22.99</v>
      </c>
      <c r="M5" s="10">
        <v>79.97</v>
      </c>
      <c r="N5" s="10">
        <v>6.0299999999999994</v>
      </c>
      <c r="O5" s="10">
        <v>23.39</v>
      </c>
      <c r="P5" s="10">
        <v>34.32</v>
      </c>
      <c r="Q5" s="10">
        <v>57.589999999999996</v>
      </c>
      <c r="R5" s="10">
        <v>31.11</v>
      </c>
      <c r="S5" s="10">
        <v>3.7</v>
      </c>
      <c r="T5" s="10">
        <v>38.07</v>
      </c>
      <c r="U5" s="10">
        <v>53</v>
      </c>
      <c r="V5" s="10">
        <v>39.279999999999994</v>
      </c>
      <c r="W5" s="10">
        <v>1.7</v>
      </c>
      <c r="X5" s="10">
        <v>1.82</v>
      </c>
      <c r="Y5" s="10">
        <v>2030.1399999999999</v>
      </c>
      <c r="Z5" s="113">
        <f t="shared" ref="Z5:Z37" si="0">Y5/$Y$37</f>
        <v>1.8940769022427969E-2</v>
      </c>
    </row>
    <row r="6" spans="1:27" x14ac:dyDescent="0.25">
      <c r="A6" s="6" t="s">
        <v>6</v>
      </c>
      <c r="B6" s="10">
        <v>492.99</v>
      </c>
      <c r="C6" s="10">
        <v>51.6</v>
      </c>
      <c r="D6" s="10">
        <v>6.92</v>
      </c>
      <c r="E6" s="10">
        <v>131.35</v>
      </c>
      <c r="F6" s="10">
        <v>74.819999999999993</v>
      </c>
      <c r="G6" s="10">
        <v>33.32</v>
      </c>
      <c r="H6" s="10">
        <v>34.770000000000003</v>
      </c>
      <c r="I6" s="10">
        <v>30.18</v>
      </c>
      <c r="J6" s="10">
        <v>29.089999999999996</v>
      </c>
      <c r="K6" s="10">
        <v>62.519999999999996</v>
      </c>
      <c r="L6" s="10">
        <v>34.42</v>
      </c>
      <c r="M6" s="10">
        <v>32.489999999999995</v>
      </c>
      <c r="N6" s="10">
        <v>0.9</v>
      </c>
      <c r="O6" s="10">
        <v>1.1000000000000001</v>
      </c>
      <c r="P6" s="10">
        <v>2.88</v>
      </c>
      <c r="Q6" s="10">
        <v>18.080000000000002</v>
      </c>
      <c r="R6" s="10">
        <v>4.6099999999999994</v>
      </c>
      <c r="S6" s="10">
        <v>0.1</v>
      </c>
      <c r="T6" s="10">
        <v>4.05</v>
      </c>
      <c r="U6" s="10">
        <v>38.120000000000005</v>
      </c>
      <c r="V6" s="10">
        <v>11.66</v>
      </c>
      <c r="W6" s="10">
        <v>2.02</v>
      </c>
      <c r="X6" s="10">
        <v>0.04</v>
      </c>
      <c r="Y6" s="10">
        <v>1098.03</v>
      </c>
      <c r="Z6" s="113">
        <f t="shared" si="0"/>
        <v>1.0244383446312365E-2</v>
      </c>
    </row>
    <row r="7" spans="1:27" x14ac:dyDescent="0.25">
      <c r="A7" s="6" t="s">
        <v>7</v>
      </c>
      <c r="B7" s="10">
        <v>2017.26</v>
      </c>
      <c r="C7" s="10">
        <v>953.16</v>
      </c>
      <c r="D7" s="10">
        <v>196.69000000000003</v>
      </c>
      <c r="E7" s="10">
        <v>351.15000000000003</v>
      </c>
      <c r="F7" s="10">
        <v>364.83000000000004</v>
      </c>
      <c r="G7" s="10">
        <v>709.49</v>
      </c>
      <c r="H7" s="10">
        <v>804.54</v>
      </c>
      <c r="I7" s="10">
        <v>2027.21</v>
      </c>
      <c r="J7" s="10">
        <v>857.40999999999985</v>
      </c>
      <c r="K7" s="10">
        <v>312.03000000000003</v>
      </c>
      <c r="L7" s="10">
        <v>261.56</v>
      </c>
      <c r="M7" s="10">
        <v>325.79000000000002</v>
      </c>
      <c r="N7" s="10">
        <v>184.17</v>
      </c>
      <c r="O7" s="10">
        <v>154.32999999999998</v>
      </c>
      <c r="P7" s="10">
        <v>349.32</v>
      </c>
      <c r="Q7" s="10">
        <v>111.57000000000001</v>
      </c>
      <c r="R7" s="10">
        <v>191.22999999999996</v>
      </c>
      <c r="S7" s="10">
        <v>214.01000000000002</v>
      </c>
      <c r="T7" s="10">
        <v>300.89</v>
      </c>
      <c r="U7" s="10">
        <v>465.19999999999993</v>
      </c>
      <c r="V7" s="10">
        <v>402.54</v>
      </c>
      <c r="W7" s="10">
        <v>218.13</v>
      </c>
      <c r="X7" s="10">
        <v>0.51</v>
      </c>
      <c r="Y7" s="10">
        <v>11773.019999999997</v>
      </c>
      <c r="Z7" s="113">
        <f t="shared" si="0"/>
        <v>0.10983974135597785</v>
      </c>
    </row>
    <row r="8" spans="1:27" x14ac:dyDescent="0.25">
      <c r="A8" s="6" t="s">
        <v>8</v>
      </c>
      <c r="B8" s="10">
        <v>201.53999999999996</v>
      </c>
      <c r="C8" s="10">
        <v>3.6999999999999997</v>
      </c>
      <c r="D8" s="10">
        <v>0.58000000000000007</v>
      </c>
      <c r="E8" s="10">
        <v>0.75</v>
      </c>
      <c r="F8" s="10">
        <v>0.63</v>
      </c>
      <c r="G8" s="10">
        <v>4.05</v>
      </c>
      <c r="H8" s="10">
        <v>1.78</v>
      </c>
      <c r="I8" s="10"/>
      <c r="J8" s="10">
        <v>0.31</v>
      </c>
      <c r="K8" s="10"/>
      <c r="L8" s="10">
        <v>0.72000000000000008</v>
      </c>
      <c r="M8" s="10">
        <v>0.03</v>
      </c>
      <c r="N8" s="10">
        <v>0.37000000000000005</v>
      </c>
      <c r="O8" s="10">
        <v>0.09</v>
      </c>
      <c r="P8" s="10"/>
      <c r="Q8" s="10">
        <v>0.36</v>
      </c>
      <c r="R8" s="10">
        <v>0.77</v>
      </c>
      <c r="S8" s="10"/>
      <c r="T8" s="10">
        <v>0.18</v>
      </c>
      <c r="U8" s="10">
        <v>0.08</v>
      </c>
      <c r="V8" s="10">
        <v>0.06</v>
      </c>
      <c r="W8" s="10"/>
      <c r="X8" s="10">
        <v>0.65</v>
      </c>
      <c r="Y8" s="10">
        <v>216.64999999999995</v>
      </c>
      <c r="Z8" s="113">
        <f t="shared" si="0"/>
        <v>2.0212978458180315E-3</v>
      </c>
    </row>
    <row r="9" spans="1:27" x14ac:dyDescent="0.25">
      <c r="A9" s="6" t="s">
        <v>9</v>
      </c>
      <c r="B9" s="10">
        <v>2636.8499999999995</v>
      </c>
      <c r="C9" s="10">
        <v>594.73</v>
      </c>
      <c r="D9" s="10">
        <v>269.78000000000003</v>
      </c>
      <c r="E9" s="10">
        <v>112.37</v>
      </c>
      <c r="F9" s="10">
        <v>140.34</v>
      </c>
      <c r="G9" s="10">
        <v>473.77</v>
      </c>
      <c r="H9" s="10">
        <v>369.42999999999995</v>
      </c>
      <c r="I9" s="10">
        <v>185.25000000000003</v>
      </c>
      <c r="J9" s="10">
        <v>220.33999999999997</v>
      </c>
      <c r="K9" s="10">
        <v>581.3900000000001</v>
      </c>
      <c r="L9" s="10">
        <v>640.71</v>
      </c>
      <c r="M9" s="10">
        <v>132.03000000000003</v>
      </c>
      <c r="N9" s="10">
        <v>183.95000000000002</v>
      </c>
      <c r="O9" s="10">
        <v>36.43</v>
      </c>
      <c r="P9" s="10">
        <v>302.82</v>
      </c>
      <c r="Q9" s="10">
        <v>131.68</v>
      </c>
      <c r="R9" s="10">
        <v>153.26</v>
      </c>
      <c r="S9" s="10">
        <v>239.52</v>
      </c>
      <c r="T9" s="10">
        <v>40.04</v>
      </c>
      <c r="U9" s="10">
        <v>225.75</v>
      </c>
      <c r="V9" s="10">
        <v>95.14</v>
      </c>
      <c r="W9" s="10">
        <v>62.18</v>
      </c>
      <c r="X9" s="10">
        <v>10.53</v>
      </c>
      <c r="Y9" s="10">
        <v>7838.2899999999991</v>
      </c>
      <c r="Z9" s="113">
        <f t="shared" si="0"/>
        <v>7.312955777473816E-2</v>
      </c>
    </row>
    <row r="10" spans="1:27" x14ac:dyDescent="0.25">
      <c r="A10" s="6" t="s">
        <v>10</v>
      </c>
      <c r="B10" s="10">
        <v>0.22999999999999998</v>
      </c>
      <c r="C10" s="10">
        <v>0.08</v>
      </c>
      <c r="D10" s="10"/>
      <c r="E10" s="10"/>
      <c r="F10" s="10"/>
      <c r="G10" s="10"/>
      <c r="H10" s="10"/>
      <c r="I10" s="10"/>
      <c r="J10" s="10"/>
      <c r="K10" s="10">
        <v>0.34</v>
      </c>
      <c r="L10" s="10">
        <v>0.01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v>0.66</v>
      </c>
      <c r="Z10" s="113">
        <f t="shared" si="0"/>
        <v>6.1576578732513328E-6</v>
      </c>
    </row>
    <row r="11" spans="1:27" x14ac:dyDescent="0.25">
      <c r="A11" s="6" t="s">
        <v>11</v>
      </c>
      <c r="B11" s="10">
        <v>957.47999999999979</v>
      </c>
      <c r="C11" s="10">
        <v>126.38000000000002</v>
      </c>
      <c r="D11" s="10">
        <v>10.940000000000001</v>
      </c>
      <c r="E11" s="10">
        <v>19.84</v>
      </c>
      <c r="F11" s="10">
        <v>7.96</v>
      </c>
      <c r="G11" s="10">
        <v>29.64</v>
      </c>
      <c r="H11" s="10">
        <v>30.66</v>
      </c>
      <c r="I11" s="10">
        <v>0.94</v>
      </c>
      <c r="J11" s="10">
        <v>5.9499999999999993</v>
      </c>
      <c r="K11" s="10">
        <v>18.25</v>
      </c>
      <c r="L11" s="10">
        <v>27.909999999999997</v>
      </c>
      <c r="M11" s="10">
        <v>23.8</v>
      </c>
      <c r="N11" s="10">
        <v>1.05</v>
      </c>
      <c r="O11" s="10">
        <v>10.17</v>
      </c>
      <c r="P11" s="10">
        <v>8.41</v>
      </c>
      <c r="Q11" s="10">
        <v>20.970000000000002</v>
      </c>
      <c r="R11" s="10">
        <v>32.18</v>
      </c>
      <c r="S11" s="10">
        <v>16.75</v>
      </c>
      <c r="T11" s="10">
        <v>25.74</v>
      </c>
      <c r="U11" s="10">
        <v>53.580000000000005</v>
      </c>
      <c r="V11" s="10">
        <v>12.92</v>
      </c>
      <c r="W11" s="10">
        <v>25.34</v>
      </c>
      <c r="X11" s="10">
        <v>0.26</v>
      </c>
      <c r="Y11" s="10">
        <v>1467.1200000000001</v>
      </c>
      <c r="Z11" s="113">
        <f t="shared" si="0"/>
        <v>1.3687913665158327E-2</v>
      </c>
    </row>
    <row r="12" spans="1:27" x14ac:dyDescent="0.25">
      <c r="A12" s="6" t="s">
        <v>12</v>
      </c>
      <c r="B12" s="10">
        <v>7366.0700000000015</v>
      </c>
      <c r="C12" s="10">
        <v>1489.9499999999994</v>
      </c>
      <c r="D12" s="10">
        <v>453.43000000000006</v>
      </c>
      <c r="E12" s="10">
        <v>697.8599999999999</v>
      </c>
      <c r="F12" s="10">
        <v>1001.6299999999998</v>
      </c>
      <c r="G12" s="10">
        <v>1202.8300000000002</v>
      </c>
      <c r="H12" s="10">
        <v>2154.7199999999998</v>
      </c>
      <c r="I12" s="10">
        <v>1688.1099999999997</v>
      </c>
      <c r="J12" s="10">
        <v>1169.43</v>
      </c>
      <c r="K12" s="10">
        <v>744.61</v>
      </c>
      <c r="L12" s="10">
        <v>542.09</v>
      </c>
      <c r="M12" s="10">
        <v>830.42</v>
      </c>
      <c r="N12" s="10">
        <v>510.80999999999995</v>
      </c>
      <c r="O12" s="10">
        <v>463.82</v>
      </c>
      <c r="P12" s="10">
        <v>301.75</v>
      </c>
      <c r="Q12" s="10">
        <v>263.45000000000005</v>
      </c>
      <c r="R12" s="10">
        <v>317.68</v>
      </c>
      <c r="S12" s="10">
        <v>475.25</v>
      </c>
      <c r="T12" s="10">
        <v>732.84999999999991</v>
      </c>
      <c r="U12" s="10">
        <v>1581.42</v>
      </c>
      <c r="V12" s="10">
        <v>1247.3499999999999</v>
      </c>
      <c r="W12" s="10">
        <v>684.17000000000007</v>
      </c>
      <c r="X12" s="10">
        <v>11.039999999999997</v>
      </c>
      <c r="Y12" s="10">
        <v>25930.739999999994</v>
      </c>
      <c r="Z12" s="113">
        <f t="shared" si="0"/>
        <v>0.24192822018217155</v>
      </c>
    </row>
    <row r="13" spans="1:27" x14ac:dyDescent="0.25">
      <c r="A13" s="14" t="s">
        <v>13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>
        <v>0.18</v>
      </c>
      <c r="Y13" s="40">
        <v>0.18</v>
      </c>
      <c r="Z13" s="145">
        <f t="shared" si="0"/>
        <v>1.6793612381594543E-6</v>
      </c>
    </row>
    <row r="14" spans="1:27" x14ac:dyDescent="0.25">
      <c r="A14" s="6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0.18</v>
      </c>
      <c r="Y14" s="10">
        <v>0.18</v>
      </c>
      <c r="Z14" s="113">
        <f t="shared" si="0"/>
        <v>1.6793612381594543E-6</v>
      </c>
    </row>
    <row r="15" spans="1:27" x14ac:dyDescent="0.25">
      <c r="A15" s="14" t="s">
        <v>14</v>
      </c>
      <c r="B15" s="40">
        <f>SUM(B16:B18)</f>
        <v>22346.460000000003</v>
      </c>
      <c r="C15" s="40">
        <f t="shared" ref="C15:Y15" si="1">SUM(C16:C18)</f>
        <v>4673.2000000000007</v>
      </c>
      <c r="D15" s="40">
        <f t="shared" si="1"/>
        <v>979.08000000000015</v>
      </c>
      <c r="E15" s="40">
        <f t="shared" si="1"/>
        <v>1115.82</v>
      </c>
      <c r="F15" s="40">
        <f t="shared" si="1"/>
        <v>1016.23</v>
      </c>
      <c r="G15" s="40">
        <f t="shared" si="1"/>
        <v>1838.7100000000005</v>
      </c>
      <c r="H15" s="40">
        <f t="shared" si="1"/>
        <v>2064.33</v>
      </c>
      <c r="I15" s="40">
        <f t="shared" si="1"/>
        <v>963.31999999999994</v>
      </c>
      <c r="J15" s="40">
        <f t="shared" si="1"/>
        <v>967.57999999999993</v>
      </c>
      <c r="K15" s="40">
        <f t="shared" si="1"/>
        <v>1162.76</v>
      </c>
      <c r="L15" s="40">
        <f t="shared" si="1"/>
        <v>1179.07</v>
      </c>
      <c r="M15" s="40">
        <f t="shared" si="1"/>
        <v>1953.5500000000002</v>
      </c>
      <c r="N15" s="40">
        <f t="shared" si="1"/>
        <v>767.43000000000006</v>
      </c>
      <c r="O15" s="40">
        <f t="shared" si="1"/>
        <v>916.16</v>
      </c>
      <c r="P15" s="40">
        <f t="shared" si="1"/>
        <v>741.55000000000018</v>
      </c>
      <c r="Q15" s="40">
        <f t="shared" si="1"/>
        <v>862.23</v>
      </c>
      <c r="R15" s="40">
        <f t="shared" si="1"/>
        <v>768.34</v>
      </c>
      <c r="S15" s="40">
        <f t="shared" si="1"/>
        <v>628.26</v>
      </c>
      <c r="T15" s="40">
        <f t="shared" si="1"/>
        <v>853.20000000000016</v>
      </c>
      <c r="U15" s="40">
        <f t="shared" si="1"/>
        <v>1336.4599999999998</v>
      </c>
      <c r="V15" s="40">
        <f t="shared" si="1"/>
        <v>957.22</v>
      </c>
      <c r="W15" s="40">
        <f t="shared" si="1"/>
        <v>265.35999999999996</v>
      </c>
      <c r="X15" s="40">
        <f t="shared" si="1"/>
        <v>219.87999999999997</v>
      </c>
      <c r="Y15" s="40">
        <f t="shared" si="1"/>
        <v>48576.2</v>
      </c>
      <c r="Z15" s="145">
        <f t="shared" si="0"/>
        <v>0.45320548542822936</v>
      </c>
      <c r="AA15" s="197">
        <f>SUM(C15:X15)</f>
        <v>26229.74</v>
      </c>
    </row>
    <row r="16" spans="1:27" x14ac:dyDescent="0.25">
      <c r="A16" s="6" t="s">
        <v>15</v>
      </c>
      <c r="B16" s="10">
        <v>2315.6799999999994</v>
      </c>
      <c r="C16" s="10">
        <v>824.98</v>
      </c>
      <c r="D16" s="10">
        <v>116.22999999999999</v>
      </c>
      <c r="E16" s="10">
        <v>175.38</v>
      </c>
      <c r="F16" s="10">
        <v>136.1</v>
      </c>
      <c r="G16" s="10">
        <v>230.61000000000004</v>
      </c>
      <c r="H16" s="10">
        <v>608.98</v>
      </c>
      <c r="I16" s="10">
        <v>132.5</v>
      </c>
      <c r="J16" s="10">
        <v>128.64000000000001</v>
      </c>
      <c r="K16" s="10">
        <v>332.47</v>
      </c>
      <c r="L16" s="10">
        <v>150.21</v>
      </c>
      <c r="M16" s="10">
        <v>959.35</v>
      </c>
      <c r="N16" s="10">
        <v>121.17000000000002</v>
      </c>
      <c r="O16" s="10">
        <v>206.50000000000003</v>
      </c>
      <c r="P16" s="10">
        <v>118.88000000000002</v>
      </c>
      <c r="Q16" s="10">
        <v>188.25000000000003</v>
      </c>
      <c r="R16" s="10">
        <v>161.46999999999997</v>
      </c>
      <c r="S16" s="10">
        <v>81.069999999999993</v>
      </c>
      <c r="T16" s="10">
        <v>102.95</v>
      </c>
      <c r="U16" s="10">
        <v>202.60999999999999</v>
      </c>
      <c r="V16" s="10">
        <v>82.62</v>
      </c>
      <c r="W16" s="10">
        <v>22.04</v>
      </c>
      <c r="X16" s="10">
        <v>51.46</v>
      </c>
      <c r="Y16" s="10">
        <v>7450.15</v>
      </c>
      <c r="Z16" s="113">
        <f t="shared" si="0"/>
        <v>6.9508295158186989E-2</v>
      </c>
    </row>
    <row r="17" spans="1:26" x14ac:dyDescent="0.25">
      <c r="A17" s="6" t="s">
        <v>16</v>
      </c>
      <c r="B17" s="10">
        <v>1861.9899999999998</v>
      </c>
      <c r="C17" s="10">
        <v>634.17000000000019</v>
      </c>
      <c r="D17" s="10">
        <v>86.48</v>
      </c>
      <c r="E17" s="10">
        <v>81.190000000000012</v>
      </c>
      <c r="F17" s="10">
        <v>53.71</v>
      </c>
      <c r="G17" s="10">
        <v>167.44</v>
      </c>
      <c r="H17" s="10">
        <v>131.1</v>
      </c>
      <c r="I17" s="10">
        <v>64.989999999999995</v>
      </c>
      <c r="J17" s="10">
        <v>106.24000000000002</v>
      </c>
      <c r="K17" s="10">
        <v>114.88</v>
      </c>
      <c r="L17" s="10">
        <v>83.52</v>
      </c>
      <c r="M17" s="10">
        <v>163.92999999999998</v>
      </c>
      <c r="N17" s="10">
        <v>82.91</v>
      </c>
      <c r="O17" s="10">
        <v>118.38999999999999</v>
      </c>
      <c r="P17" s="10">
        <v>58.09</v>
      </c>
      <c r="Q17" s="10">
        <v>98.919999999999987</v>
      </c>
      <c r="R17" s="10">
        <v>84.359999999999985</v>
      </c>
      <c r="S17" s="10">
        <v>95.84</v>
      </c>
      <c r="T17" s="10">
        <v>123.66000000000001</v>
      </c>
      <c r="U17" s="10">
        <v>239.59999999999997</v>
      </c>
      <c r="V17" s="10">
        <v>139.82000000000002</v>
      </c>
      <c r="W17" s="10">
        <v>53.82</v>
      </c>
      <c r="X17" s="10">
        <v>17.630000000000003</v>
      </c>
      <c r="Y17" s="10">
        <v>4662.68</v>
      </c>
      <c r="Z17" s="113">
        <f t="shared" si="0"/>
        <v>4.3501800321896253E-2</v>
      </c>
    </row>
    <row r="18" spans="1:26" x14ac:dyDescent="0.25">
      <c r="A18" s="6" t="s">
        <v>17</v>
      </c>
      <c r="B18" s="10">
        <v>18168.790000000005</v>
      </c>
      <c r="C18" s="10">
        <v>3214.05</v>
      </c>
      <c r="D18" s="10">
        <v>776.37000000000012</v>
      </c>
      <c r="E18" s="10">
        <v>859.25</v>
      </c>
      <c r="F18" s="10">
        <v>826.42000000000007</v>
      </c>
      <c r="G18" s="10">
        <v>1440.6600000000003</v>
      </c>
      <c r="H18" s="10">
        <v>1324.25</v>
      </c>
      <c r="I18" s="10">
        <v>765.82999999999993</v>
      </c>
      <c r="J18" s="10">
        <v>732.69999999999993</v>
      </c>
      <c r="K18" s="10">
        <v>715.41</v>
      </c>
      <c r="L18" s="10">
        <v>945.33999999999992</v>
      </c>
      <c r="M18" s="10">
        <v>830.2700000000001</v>
      </c>
      <c r="N18" s="10">
        <v>563.35</v>
      </c>
      <c r="O18" s="10">
        <v>591.27</v>
      </c>
      <c r="P18" s="10">
        <v>564.58000000000015</v>
      </c>
      <c r="Q18" s="10">
        <v>575.05999999999995</v>
      </c>
      <c r="R18" s="10">
        <v>522.5100000000001</v>
      </c>
      <c r="S18" s="10">
        <v>451.35</v>
      </c>
      <c r="T18" s="10">
        <v>626.59000000000015</v>
      </c>
      <c r="U18" s="10">
        <v>894.24999999999989</v>
      </c>
      <c r="V18" s="10">
        <v>734.78</v>
      </c>
      <c r="W18" s="10">
        <v>189.49999999999997</v>
      </c>
      <c r="X18" s="10">
        <v>150.78999999999996</v>
      </c>
      <c r="Y18" s="10">
        <v>36463.369999999995</v>
      </c>
      <c r="Z18" s="113">
        <f t="shared" si="0"/>
        <v>0.34019538994814608</v>
      </c>
    </row>
    <row r="19" spans="1:26" x14ac:dyDescent="0.25">
      <c r="A19" s="14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>
        <v>0.08</v>
      </c>
      <c r="Y19" s="40">
        <v>0.08</v>
      </c>
      <c r="Z19" s="145">
        <f t="shared" si="0"/>
        <v>7.4638277251531307E-7</v>
      </c>
    </row>
    <row r="20" spans="1:26" x14ac:dyDescent="0.25">
      <c r="A20" s="6" t="s">
        <v>18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v>0.08</v>
      </c>
      <c r="Y20" s="10">
        <v>0.08</v>
      </c>
      <c r="Z20" s="113">
        <f t="shared" si="0"/>
        <v>7.4638277251531307E-7</v>
      </c>
    </row>
    <row r="21" spans="1:26" x14ac:dyDescent="0.25">
      <c r="A21" s="14" t="s">
        <v>19</v>
      </c>
      <c r="B21" s="40">
        <f>SUM(B22:B24)</f>
        <v>717.23999999999967</v>
      </c>
      <c r="C21" s="40">
        <f t="shared" ref="C21:Y21" si="2">SUM(C22:C24)</f>
        <v>207.37</v>
      </c>
      <c r="D21" s="40">
        <f t="shared" si="2"/>
        <v>26.51</v>
      </c>
      <c r="E21" s="40">
        <f t="shared" si="2"/>
        <v>57.13</v>
      </c>
      <c r="F21" s="40">
        <f t="shared" si="2"/>
        <v>62.94</v>
      </c>
      <c r="G21" s="40">
        <f t="shared" si="2"/>
        <v>53.719999999999992</v>
      </c>
      <c r="H21" s="40">
        <f t="shared" si="2"/>
        <v>104.44</v>
      </c>
      <c r="I21" s="40">
        <f t="shared" si="2"/>
        <v>58.589999999999996</v>
      </c>
      <c r="J21" s="40">
        <f t="shared" si="2"/>
        <v>43.66</v>
      </c>
      <c r="K21" s="40">
        <f t="shared" si="2"/>
        <v>75.5</v>
      </c>
      <c r="L21" s="40">
        <f t="shared" si="2"/>
        <v>17.54</v>
      </c>
      <c r="M21" s="40">
        <f t="shared" si="2"/>
        <v>123.70999999999998</v>
      </c>
      <c r="N21" s="40">
        <f t="shared" si="2"/>
        <v>48.949999999999996</v>
      </c>
      <c r="O21" s="40">
        <f t="shared" si="2"/>
        <v>48.68</v>
      </c>
      <c r="P21" s="40">
        <f t="shared" si="2"/>
        <v>21.840000000000003</v>
      </c>
      <c r="Q21" s="40">
        <f t="shared" si="2"/>
        <v>11.719999999999999</v>
      </c>
      <c r="R21" s="40">
        <f t="shared" si="2"/>
        <v>21.87</v>
      </c>
      <c r="S21" s="40">
        <f t="shared" si="2"/>
        <v>20.130000000000003</v>
      </c>
      <c r="T21" s="40">
        <f t="shared" si="2"/>
        <v>19.27</v>
      </c>
      <c r="U21" s="40">
        <f t="shared" si="2"/>
        <v>59.410000000000004</v>
      </c>
      <c r="V21" s="40">
        <f t="shared" si="2"/>
        <v>112.18000000000002</v>
      </c>
      <c r="W21" s="40">
        <f t="shared" si="2"/>
        <v>6.2299999999999995</v>
      </c>
      <c r="X21" s="40">
        <f t="shared" si="2"/>
        <v>0</v>
      </c>
      <c r="Y21" s="40">
        <f t="shared" si="2"/>
        <v>1918.6299999999999</v>
      </c>
      <c r="Z21" s="145">
        <f t="shared" si="0"/>
        <v>1.7900404735388186E-2</v>
      </c>
    </row>
    <row r="22" spans="1:26" x14ac:dyDescent="0.25">
      <c r="A22" s="6" t="s">
        <v>20</v>
      </c>
      <c r="B22" s="10">
        <v>0.13</v>
      </c>
      <c r="C22" s="10">
        <v>0.86</v>
      </c>
      <c r="D22" s="10"/>
      <c r="E22" s="10"/>
      <c r="F22" s="10"/>
      <c r="G22" s="10">
        <v>0.04</v>
      </c>
      <c r="H22" s="10">
        <v>0.05</v>
      </c>
      <c r="I22" s="10"/>
      <c r="J22" s="10"/>
      <c r="K22" s="10"/>
      <c r="L22" s="10"/>
      <c r="M22" s="10"/>
      <c r="N22" s="10"/>
      <c r="O22" s="10"/>
      <c r="P22" s="10"/>
      <c r="Q22" s="10">
        <v>0.12000000000000001</v>
      </c>
      <c r="R22" s="10">
        <v>0.01</v>
      </c>
      <c r="S22" s="10">
        <v>0.02</v>
      </c>
      <c r="T22" s="10"/>
      <c r="U22" s="10"/>
      <c r="V22" s="10"/>
      <c r="W22" s="10"/>
      <c r="X22" s="10"/>
      <c r="Y22" s="10">
        <v>1.2300000000000002</v>
      </c>
      <c r="Z22" s="113">
        <f t="shared" si="0"/>
        <v>1.147563512742294E-5</v>
      </c>
    </row>
    <row r="23" spans="1:26" x14ac:dyDescent="0.25">
      <c r="A23" s="6" t="s">
        <v>21</v>
      </c>
      <c r="B23" s="10">
        <v>7.0000000000000007E-2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v>7.0000000000000007E-2</v>
      </c>
      <c r="R23" s="10"/>
      <c r="S23" s="10"/>
      <c r="T23" s="10">
        <v>0.01</v>
      </c>
      <c r="U23" s="10"/>
      <c r="V23" s="10"/>
      <c r="W23" s="10"/>
      <c r="X23" s="10"/>
      <c r="Y23" s="10">
        <v>0.15000000000000002</v>
      </c>
      <c r="Z23" s="113">
        <f t="shared" si="0"/>
        <v>1.3994676984662123E-6</v>
      </c>
    </row>
    <row r="24" spans="1:26" x14ac:dyDescent="0.25">
      <c r="A24" s="6" t="s">
        <v>22</v>
      </c>
      <c r="B24" s="10">
        <v>717.03999999999962</v>
      </c>
      <c r="C24" s="10">
        <v>206.51</v>
      </c>
      <c r="D24" s="10">
        <v>26.51</v>
      </c>
      <c r="E24" s="10">
        <v>57.13</v>
      </c>
      <c r="F24" s="10">
        <v>62.94</v>
      </c>
      <c r="G24" s="10">
        <v>53.679999999999993</v>
      </c>
      <c r="H24" s="10">
        <v>104.39</v>
      </c>
      <c r="I24" s="10">
        <v>58.589999999999996</v>
      </c>
      <c r="J24" s="10">
        <v>43.66</v>
      </c>
      <c r="K24" s="10">
        <v>75.5</v>
      </c>
      <c r="L24" s="10">
        <v>17.54</v>
      </c>
      <c r="M24" s="10">
        <v>123.70999999999998</v>
      </c>
      <c r="N24" s="10">
        <v>48.949999999999996</v>
      </c>
      <c r="O24" s="10">
        <v>48.68</v>
      </c>
      <c r="P24" s="10">
        <v>21.840000000000003</v>
      </c>
      <c r="Q24" s="10">
        <v>11.53</v>
      </c>
      <c r="R24" s="10">
        <v>21.86</v>
      </c>
      <c r="S24" s="10">
        <v>20.110000000000003</v>
      </c>
      <c r="T24" s="10">
        <v>19.259999999999998</v>
      </c>
      <c r="U24" s="10">
        <v>59.410000000000004</v>
      </c>
      <c r="V24" s="10">
        <v>112.18000000000002</v>
      </c>
      <c r="W24" s="10">
        <v>6.2299999999999995</v>
      </c>
      <c r="X24" s="10"/>
      <c r="Y24" s="10">
        <v>1917.2499999999998</v>
      </c>
      <c r="Z24" s="113">
        <f t="shared" si="0"/>
        <v>1.7887529632562297E-2</v>
      </c>
    </row>
    <row r="25" spans="1:26" x14ac:dyDescent="0.25">
      <c r="A25" s="14" t="s">
        <v>23</v>
      </c>
      <c r="B25" s="40">
        <v>14.93</v>
      </c>
      <c r="C25" s="40">
        <v>5.96</v>
      </c>
      <c r="D25" s="40">
        <v>1.1299999999999999</v>
      </c>
      <c r="E25" s="40">
        <v>11.66</v>
      </c>
      <c r="F25" s="40">
        <v>0.3</v>
      </c>
      <c r="G25" s="40">
        <v>0.12</v>
      </c>
      <c r="H25" s="40">
        <v>0.59</v>
      </c>
      <c r="I25" s="40">
        <v>18.88</v>
      </c>
      <c r="J25" s="40"/>
      <c r="K25" s="40">
        <v>7.3199999999999994</v>
      </c>
      <c r="L25" s="40">
        <v>0.12000000000000001</v>
      </c>
      <c r="M25" s="40">
        <v>3.66</v>
      </c>
      <c r="N25" s="40"/>
      <c r="O25" s="40">
        <v>0.68</v>
      </c>
      <c r="P25" s="40">
        <v>0.14000000000000001</v>
      </c>
      <c r="Q25" s="40">
        <v>0.43</v>
      </c>
      <c r="R25" s="40">
        <v>1.1299999999999999</v>
      </c>
      <c r="S25" s="40">
        <v>1.52</v>
      </c>
      <c r="T25" s="40">
        <v>1.1400000000000001</v>
      </c>
      <c r="U25" s="40">
        <v>1.1700000000000002</v>
      </c>
      <c r="V25" s="40">
        <v>0.80999999999999994</v>
      </c>
      <c r="W25" s="40"/>
      <c r="X25" s="40"/>
      <c r="Y25" s="40">
        <v>71.69</v>
      </c>
      <c r="Z25" s="145">
        <f t="shared" si="0"/>
        <v>6.6885226202028486E-4</v>
      </c>
    </row>
    <row r="26" spans="1:26" x14ac:dyDescent="0.25">
      <c r="A26" s="6" t="s">
        <v>24</v>
      </c>
      <c r="B26" s="10">
        <v>12.92</v>
      </c>
      <c r="C26" s="10">
        <v>4.13</v>
      </c>
      <c r="D26" s="10">
        <v>1.1299999999999999</v>
      </c>
      <c r="E26" s="10">
        <v>11.66</v>
      </c>
      <c r="F26" s="10"/>
      <c r="G26" s="10">
        <v>0.11</v>
      </c>
      <c r="H26" s="10">
        <v>0.56999999999999995</v>
      </c>
      <c r="I26" s="10">
        <v>18.88</v>
      </c>
      <c r="J26" s="10"/>
      <c r="K26" s="10">
        <v>7.22</v>
      </c>
      <c r="L26" s="10">
        <v>0.12000000000000001</v>
      </c>
      <c r="M26" s="10">
        <v>3.35</v>
      </c>
      <c r="N26" s="10"/>
      <c r="O26" s="10">
        <v>0.68</v>
      </c>
      <c r="P26" s="10">
        <v>0.14000000000000001</v>
      </c>
      <c r="Q26" s="10">
        <v>0.38</v>
      </c>
      <c r="R26" s="10">
        <v>0.99</v>
      </c>
      <c r="S26" s="10">
        <v>1.49</v>
      </c>
      <c r="T26" s="10">
        <v>1.1400000000000001</v>
      </c>
      <c r="U26" s="10">
        <v>0.43</v>
      </c>
      <c r="V26" s="10">
        <v>0.80999999999999994</v>
      </c>
      <c r="W26" s="10"/>
      <c r="X26" s="10"/>
      <c r="Y26" s="10">
        <v>66.149999999999991</v>
      </c>
      <c r="Z26" s="113">
        <f t="shared" si="0"/>
        <v>6.1716525502359938E-4</v>
      </c>
    </row>
    <row r="27" spans="1:26" x14ac:dyDescent="0.25">
      <c r="A27" s="6" t="s">
        <v>25</v>
      </c>
      <c r="B27" s="10">
        <v>2.0099999999999998</v>
      </c>
      <c r="C27" s="10">
        <v>1.83</v>
      </c>
      <c r="D27" s="10"/>
      <c r="E27" s="10"/>
      <c r="F27" s="10">
        <v>0.3</v>
      </c>
      <c r="G27" s="10">
        <v>0.01</v>
      </c>
      <c r="H27" s="10">
        <v>0.02</v>
      </c>
      <c r="I27" s="10"/>
      <c r="J27" s="10"/>
      <c r="K27" s="10">
        <v>0.1</v>
      </c>
      <c r="L27" s="10"/>
      <c r="M27" s="10">
        <v>0.31000000000000005</v>
      </c>
      <c r="N27" s="10"/>
      <c r="O27" s="10"/>
      <c r="P27" s="10"/>
      <c r="Q27" s="10">
        <v>0.05</v>
      </c>
      <c r="R27" s="10">
        <v>0.14000000000000001</v>
      </c>
      <c r="S27" s="10">
        <v>0.03</v>
      </c>
      <c r="T27" s="10"/>
      <c r="U27" s="10">
        <v>0.7400000000000001</v>
      </c>
      <c r="V27" s="10"/>
      <c r="W27" s="10"/>
      <c r="X27" s="10"/>
      <c r="Y27" s="10">
        <v>5.5399999999999991</v>
      </c>
      <c r="Z27" s="113">
        <f t="shared" si="0"/>
        <v>5.1687006996685419E-5</v>
      </c>
    </row>
    <row r="28" spans="1:26" x14ac:dyDescent="0.25">
      <c r="A28" s="14" t="s">
        <v>26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>
        <v>0.06</v>
      </c>
      <c r="X28" s="40"/>
      <c r="Y28" s="40">
        <v>0.06</v>
      </c>
      <c r="Z28" s="145">
        <f t="shared" si="0"/>
        <v>5.5978707938648478E-7</v>
      </c>
    </row>
    <row r="29" spans="1:26" x14ac:dyDescent="0.25">
      <c r="A29" s="6" t="s">
        <v>27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v>0.06</v>
      </c>
      <c r="X29" s="10"/>
      <c r="Y29" s="10">
        <v>0.06</v>
      </c>
      <c r="Z29" s="113">
        <f t="shared" si="0"/>
        <v>5.5978707938648478E-7</v>
      </c>
    </row>
    <row r="30" spans="1:26" x14ac:dyDescent="0.25">
      <c r="A30" s="14" t="s">
        <v>28</v>
      </c>
      <c r="B30" s="40">
        <v>587.99999999999989</v>
      </c>
      <c r="C30" s="40">
        <v>19.899999999999999</v>
      </c>
      <c r="D30" s="40">
        <v>1.19</v>
      </c>
      <c r="E30" s="40">
        <v>12.36</v>
      </c>
      <c r="F30" s="40">
        <v>1.02</v>
      </c>
      <c r="G30" s="40">
        <v>3.07</v>
      </c>
      <c r="H30" s="40">
        <v>13.14</v>
      </c>
      <c r="I30" s="40"/>
      <c r="J30" s="40">
        <v>1.01</v>
      </c>
      <c r="K30" s="40">
        <v>2.82</v>
      </c>
      <c r="L30" s="40">
        <v>0.76</v>
      </c>
      <c r="M30" s="40">
        <v>2.82</v>
      </c>
      <c r="N30" s="40">
        <v>4.3600000000000003</v>
      </c>
      <c r="O30" s="40">
        <v>6.01</v>
      </c>
      <c r="P30" s="40">
        <v>0.23</v>
      </c>
      <c r="Q30" s="40">
        <v>8.1199999999999992</v>
      </c>
      <c r="R30" s="40">
        <v>15.009999999999998</v>
      </c>
      <c r="S30" s="40">
        <v>3</v>
      </c>
      <c r="T30" s="40">
        <v>4.16</v>
      </c>
      <c r="U30" s="40">
        <v>10.94</v>
      </c>
      <c r="V30" s="40">
        <v>0.17</v>
      </c>
      <c r="W30" s="40">
        <v>2.88</v>
      </c>
      <c r="X30" s="40">
        <v>3.7399999999999998</v>
      </c>
      <c r="Y30" s="40">
        <v>704.70999999999992</v>
      </c>
      <c r="Z30" s="145">
        <f t="shared" si="0"/>
        <v>6.5747925452408276E-3</v>
      </c>
    </row>
    <row r="31" spans="1:26" x14ac:dyDescent="0.25">
      <c r="A31" s="6" t="s">
        <v>28</v>
      </c>
      <c r="B31" s="10">
        <v>587.99999999999989</v>
      </c>
      <c r="C31" s="10">
        <v>19.899999999999999</v>
      </c>
      <c r="D31" s="10">
        <v>1.19</v>
      </c>
      <c r="E31" s="10">
        <v>12.36</v>
      </c>
      <c r="F31" s="10">
        <v>1.02</v>
      </c>
      <c r="G31" s="10">
        <v>3.07</v>
      </c>
      <c r="H31" s="10">
        <v>13.14</v>
      </c>
      <c r="I31" s="10"/>
      <c r="J31" s="10">
        <v>1.01</v>
      </c>
      <c r="K31" s="10">
        <v>2.82</v>
      </c>
      <c r="L31" s="10">
        <v>0.76</v>
      </c>
      <c r="M31" s="10">
        <v>2.82</v>
      </c>
      <c r="N31" s="10">
        <v>4.3600000000000003</v>
      </c>
      <c r="O31" s="10">
        <v>6.01</v>
      </c>
      <c r="P31" s="10">
        <v>0.23</v>
      </c>
      <c r="Q31" s="10">
        <v>8.1199999999999992</v>
      </c>
      <c r="R31" s="10">
        <v>15.009999999999998</v>
      </c>
      <c r="S31" s="10">
        <v>3</v>
      </c>
      <c r="T31" s="10">
        <v>4.16</v>
      </c>
      <c r="U31" s="10">
        <v>10.94</v>
      </c>
      <c r="V31" s="10">
        <v>0.17</v>
      </c>
      <c r="W31" s="10">
        <v>2.88</v>
      </c>
      <c r="X31" s="10">
        <v>3.7399999999999998</v>
      </c>
      <c r="Y31" s="10">
        <v>704.70999999999992</v>
      </c>
      <c r="Z31" s="113">
        <f t="shared" si="0"/>
        <v>6.5747925452408276E-3</v>
      </c>
    </row>
    <row r="32" spans="1:26" x14ac:dyDescent="0.25">
      <c r="A32" s="14" t="s">
        <v>29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>
        <v>156.38</v>
      </c>
      <c r="Y32" s="40">
        <v>156.38</v>
      </c>
      <c r="Z32" s="145">
        <f t="shared" si="0"/>
        <v>1.4589917245743081E-3</v>
      </c>
    </row>
    <row r="33" spans="1:26" x14ac:dyDescent="0.25">
      <c r="A33" s="6" t="s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>
        <v>64.2</v>
      </c>
      <c r="Y33" s="10">
        <v>64.2</v>
      </c>
      <c r="Z33" s="113">
        <f t="shared" si="0"/>
        <v>5.9897217494353874E-4</v>
      </c>
    </row>
    <row r="34" spans="1:26" x14ac:dyDescent="0.25">
      <c r="A34" s="6" t="s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>
        <v>92.18</v>
      </c>
      <c r="Y34" s="10">
        <v>92.18</v>
      </c>
      <c r="Z34" s="113">
        <f t="shared" si="0"/>
        <v>8.6001954963076956E-4</v>
      </c>
    </row>
    <row r="35" spans="1:26" x14ac:dyDescent="0.25">
      <c r="A35" s="14" t="s">
        <v>32</v>
      </c>
      <c r="B35" s="40">
        <v>1226.76</v>
      </c>
      <c r="C35" s="40">
        <v>409.19000000000005</v>
      </c>
      <c r="D35" s="40">
        <v>268.38</v>
      </c>
      <c r="E35" s="40">
        <v>165.81</v>
      </c>
      <c r="F35" s="40">
        <v>213.98000000000002</v>
      </c>
      <c r="G35" s="40">
        <v>219.30999999999997</v>
      </c>
      <c r="H35" s="40">
        <v>528.94999999999993</v>
      </c>
      <c r="I35" s="40">
        <v>244.19000000000003</v>
      </c>
      <c r="J35" s="40">
        <v>251.61999999999998</v>
      </c>
      <c r="K35" s="40">
        <v>174.32</v>
      </c>
      <c r="L35" s="40">
        <v>142.36999999999998</v>
      </c>
      <c r="M35" s="40">
        <v>313.21000000000004</v>
      </c>
      <c r="N35" s="40">
        <v>115.14</v>
      </c>
      <c r="O35" s="40">
        <v>119.36</v>
      </c>
      <c r="P35" s="40">
        <v>67.78</v>
      </c>
      <c r="Q35" s="40">
        <v>212.89999999999998</v>
      </c>
      <c r="R35" s="40">
        <v>141.03999999999996</v>
      </c>
      <c r="S35" s="40">
        <v>155.5</v>
      </c>
      <c r="T35" s="40">
        <v>141.29</v>
      </c>
      <c r="U35" s="40">
        <v>118.01000000000002</v>
      </c>
      <c r="V35" s="40">
        <v>85.720000000000013</v>
      </c>
      <c r="W35" s="40">
        <v>13.16</v>
      </c>
      <c r="X35" s="40">
        <v>73.040000000000006</v>
      </c>
      <c r="Y35" s="40">
        <v>5401.0300000000007</v>
      </c>
      <c r="Z35" s="145">
        <f t="shared" si="0"/>
        <v>5.0390446822979773E-2</v>
      </c>
    </row>
    <row r="36" spans="1:26" x14ac:dyDescent="0.25">
      <c r="A36" s="6" t="s">
        <v>32</v>
      </c>
      <c r="B36" s="10">
        <v>1226.76</v>
      </c>
      <c r="C36" s="10">
        <v>409.19000000000005</v>
      </c>
      <c r="D36" s="10">
        <v>268.38</v>
      </c>
      <c r="E36" s="10">
        <v>165.81</v>
      </c>
      <c r="F36" s="10">
        <v>213.98000000000002</v>
      </c>
      <c r="G36" s="10">
        <v>219.30999999999997</v>
      </c>
      <c r="H36" s="10">
        <v>528.94999999999993</v>
      </c>
      <c r="I36" s="10">
        <v>244.19000000000003</v>
      </c>
      <c r="J36" s="10">
        <v>251.61999999999998</v>
      </c>
      <c r="K36" s="10">
        <v>174.32</v>
      </c>
      <c r="L36" s="10">
        <v>142.36999999999998</v>
      </c>
      <c r="M36" s="10">
        <v>313.21000000000004</v>
      </c>
      <c r="N36" s="10">
        <v>115.14</v>
      </c>
      <c r="O36" s="10">
        <v>119.36</v>
      </c>
      <c r="P36" s="10">
        <v>67.78</v>
      </c>
      <c r="Q36" s="10">
        <v>212.89999999999998</v>
      </c>
      <c r="R36" s="10">
        <v>141.03999999999996</v>
      </c>
      <c r="S36" s="10">
        <v>155.5</v>
      </c>
      <c r="T36" s="10">
        <v>141.29</v>
      </c>
      <c r="U36" s="10">
        <v>118.01000000000002</v>
      </c>
      <c r="V36" s="10">
        <v>85.720000000000013</v>
      </c>
      <c r="W36" s="10">
        <v>13.16</v>
      </c>
      <c r="X36" s="10">
        <v>73.040000000000006</v>
      </c>
      <c r="Y36" s="10">
        <v>5401.0300000000007</v>
      </c>
      <c r="Z36" s="113">
        <f t="shared" si="0"/>
        <v>5.0390446822979773E-2</v>
      </c>
    </row>
    <row r="37" spans="1:26" x14ac:dyDescent="0.25">
      <c r="A37" s="39" t="s">
        <v>33</v>
      </c>
      <c r="B37" s="41">
        <v>39404.079999999958</v>
      </c>
      <c r="C37" s="41">
        <v>8742.52</v>
      </c>
      <c r="D37" s="41">
        <v>2316.66</v>
      </c>
      <c r="E37" s="41">
        <v>2691.26</v>
      </c>
      <c r="F37" s="41">
        <v>2958.16</v>
      </c>
      <c r="G37" s="41">
        <v>4726.3099999999995</v>
      </c>
      <c r="H37" s="41">
        <v>6227.31</v>
      </c>
      <c r="I37" s="41">
        <v>5242.33</v>
      </c>
      <c r="J37" s="41">
        <v>3595.2400000000002</v>
      </c>
      <c r="K37" s="41">
        <v>3190.05</v>
      </c>
      <c r="L37" s="41">
        <v>2870.27</v>
      </c>
      <c r="M37" s="41">
        <v>3821.48</v>
      </c>
      <c r="N37" s="41">
        <v>1823.1599999999999</v>
      </c>
      <c r="O37" s="41">
        <v>1780.2200000000003</v>
      </c>
      <c r="P37" s="41">
        <v>1831.04</v>
      </c>
      <c r="Q37" s="41">
        <v>1699.1</v>
      </c>
      <c r="R37" s="41">
        <v>1678.2299999999998</v>
      </c>
      <c r="S37" s="41">
        <v>1757.7399999999998</v>
      </c>
      <c r="T37" s="41">
        <v>2160.88</v>
      </c>
      <c r="U37" s="41">
        <v>3943.1399999999994</v>
      </c>
      <c r="V37" s="41">
        <v>2965.0499999999997</v>
      </c>
      <c r="W37" s="41">
        <v>1281.2300000000002</v>
      </c>
      <c r="X37" s="41">
        <v>478.15000000000003</v>
      </c>
      <c r="Y37" s="41">
        <v>107183.60999999996</v>
      </c>
      <c r="Z37" s="146">
        <f t="shared" si="0"/>
        <v>1</v>
      </c>
    </row>
    <row r="41" spans="1:26" ht="15.75" x14ac:dyDescent="0.25">
      <c r="A41" s="67" t="s">
        <v>56</v>
      </c>
      <c r="B41" s="68" t="s">
        <v>188</v>
      </c>
      <c r="C41" s="68">
        <v>2000</v>
      </c>
      <c r="D41" s="68">
        <v>2001</v>
      </c>
      <c r="E41" s="68">
        <v>2002</v>
      </c>
      <c r="F41" s="68">
        <v>2003</v>
      </c>
      <c r="G41" s="68">
        <v>2004</v>
      </c>
      <c r="H41" s="68">
        <v>2005</v>
      </c>
      <c r="I41" s="68">
        <v>2006</v>
      </c>
      <c r="J41" s="68">
        <v>2007</v>
      </c>
      <c r="K41" s="68">
        <v>2008</v>
      </c>
      <c r="L41" s="68">
        <v>2009</v>
      </c>
      <c r="M41" s="68">
        <v>2010</v>
      </c>
      <c r="N41" s="68">
        <v>2011</v>
      </c>
      <c r="O41" s="68">
        <v>2012</v>
      </c>
      <c r="P41" s="68">
        <v>2013</v>
      </c>
      <c r="Q41" s="68">
        <v>2014</v>
      </c>
      <c r="R41" s="68">
        <v>2015</v>
      </c>
      <c r="S41" s="68">
        <v>2016</v>
      </c>
      <c r="T41" s="68">
        <v>2017</v>
      </c>
      <c r="U41" s="68">
        <v>2018</v>
      </c>
      <c r="V41" s="68">
        <v>2019</v>
      </c>
      <c r="W41" s="68">
        <v>2020</v>
      </c>
      <c r="X41" s="69" t="s">
        <v>53</v>
      </c>
    </row>
    <row r="42" spans="1:26" x14ac:dyDescent="0.25">
      <c r="A42" s="70" t="s">
        <v>96</v>
      </c>
      <c r="B42" s="19">
        <f>B4/$Y$4</f>
        <v>0.28816981152684018</v>
      </c>
      <c r="C42" s="19">
        <f t="shared" ref="C42:W42" si="3">C4/$Y$4</f>
        <v>6.805528387149945E-2</v>
      </c>
      <c r="D42" s="19">
        <f t="shared" si="3"/>
        <v>2.0660852572701831E-2</v>
      </c>
      <c r="E42" s="19">
        <f t="shared" si="3"/>
        <v>2.638246914634498E-2</v>
      </c>
      <c r="F42" s="19">
        <f t="shared" si="3"/>
        <v>3.3039451172831115E-2</v>
      </c>
      <c r="G42" s="19">
        <f t="shared" si="3"/>
        <v>5.1859758731318761E-2</v>
      </c>
      <c r="H42" s="19">
        <f t="shared" si="3"/>
        <v>6.9821952888164257E-2</v>
      </c>
      <c r="I42" s="19">
        <f t="shared" si="3"/>
        <v>7.8589564220980596E-2</v>
      </c>
      <c r="J42" s="19">
        <f t="shared" si="3"/>
        <v>4.6299001184597649E-2</v>
      </c>
      <c r="K42" s="19">
        <f t="shared" si="3"/>
        <v>3.5097652351868208E-2</v>
      </c>
      <c r="L42" s="19">
        <f t="shared" si="3"/>
        <v>3.0392625110094107E-2</v>
      </c>
      <c r="M42" s="19">
        <f t="shared" si="3"/>
        <v>2.8289939459414371E-2</v>
      </c>
      <c r="N42" s="19">
        <f t="shared" si="3"/>
        <v>1.7620616963875235E-2</v>
      </c>
      <c r="O42" s="19">
        <f t="shared" si="3"/>
        <v>1.3689500373848295E-2</v>
      </c>
      <c r="P42" s="19">
        <f t="shared" si="3"/>
        <v>1.9849209556614931E-2</v>
      </c>
      <c r="Q42" s="19">
        <f t="shared" si="3"/>
        <v>1.1988962290473672E-2</v>
      </c>
      <c r="R42" s="19">
        <f t="shared" si="3"/>
        <v>1.4513853238975943E-2</v>
      </c>
      <c r="S42" s="19">
        <f t="shared" si="3"/>
        <v>1.8852876546654584E-2</v>
      </c>
      <c r="T42" s="19">
        <f t="shared" si="3"/>
        <v>2.2675562237052586E-2</v>
      </c>
      <c r="U42" s="19">
        <f t="shared" si="3"/>
        <v>4.8002518138841203E-2</v>
      </c>
      <c r="V42" s="19">
        <f t="shared" si="3"/>
        <v>3.5924189722299729E-2</v>
      </c>
      <c r="W42" s="19">
        <f t="shared" si="3"/>
        <v>1.9730849087422911E-2</v>
      </c>
      <c r="X42" s="86">
        <f>X4/Y4</f>
        <v>4.9349960728552373E-4</v>
      </c>
    </row>
    <row r="43" spans="1:26" x14ac:dyDescent="0.25">
      <c r="A43" s="70" t="s">
        <v>13</v>
      </c>
      <c r="B43" s="19">
        <f>B13/$Y$13</f>
        <v>0</v>
      </c>
      <c r="C43" s="19">
        <f t="shared" ref="C43:W43" si="4">C13/$Y$13</f>
        <v>0</v>
      </c>
      <c r="D43" s="19">
        <f t="shared" si="4"/>
        <v>0</v>
      </c>
      <c r="E43" s="19">
        <f t="shared" si="4"/>
        <v>0</v>
      </c>
      <c r="F43" s="19">
        <f t="shared" si="4"/>
        <v>0</v>
      </c>
      <c r="G43" s="19">
        <f t="shared" si="4"/>
        <v>0</v>
      </c>
      <c r="H43" s="19">
        <f t="shared" si="4"/>
        <v>0</v>
      </c>
      <c r="I43" s="19">
        <f t="shared" si="4"/>
        <v>0</v>
      </c>
      <c r="J43" s="19">
        <f t="shared" si="4"/>
        <v>0</v>
      </c>
      <c r="K43" s="19">
        <f t="shared" si="4"/>
        <v>0</v>
      </c>
      <c r="L43" s="19">
        <f t="shared" si="4"/>
        <v>0</v>
      </c>
      <c r="M43" s="19">
        <f t="shared" si="4"/>
        <v>0</v>
      </c>
      <c r="N43" s="19">
        <f t="shared" si="4"/>
        <v>0</v>
      </c>
      <c r="O43" s="19">
        <f t="shared" si="4"/>
        <v>0</v>
      </c>
      <c r="P43" s="19">
        <f t="shared" si="4"/>
        <v>0</v>
      </c>
      <c r="Q43" s="19">
        <f t="shared" si="4"/>
        <v>0</v>
      </c>
      <c r="R43" s="19">
        <f t="shared" si="4"/>
        <v>0</v>
      </c>
      <c r="S43" s="19">
        <f t="shared" si="4"/>
        <v>0</v>
      </c>
      <c r="T43" s="19">
        <f t="shared" si="4"/>
        <v>0</v>
      </c>
      <c r="U43" s="19">
        <f t="shared" si="4"/>
        <v>0</v>
      </c>
      <c r="V43" s="19">
        <f t="shared" si="4"/>
        <v>0</v>
      </c>
      <c r="W43" s="19">
        <f t="shared" si="4"/>
        <v>0</v>
      </c>
      <c r="X43" s="172">
        <f>X13/Y13</f>
        <v>1</v>
      </c>
    </row>
    <row r="44" spans="1:26" x14ac:dyDescent="0.25">
      <c r="A44" s="70" t="s">
        <v>14</v>
      </c>
      <c r="B44" s="19">
        <f>B15/$Y$15</f>
        <v>0.4600289853879061</v>
      </c>
      <c r="C44" s="19">
        <f t="shared" ref="C44:W44" si="5">C15/$Y$15</f>
        <v>9.6203490598276542E-2</v>
      </c>
      <c r="D44" s="19">
        <f t="shared" si="5"/>
        <v>2.0155549425438801E-2</v>
      </c>
      <c r="E44" s="19">
        <f t="shared" si="5"/>
        <v>2.2970508191254152E-2</v>
      </c>
      <c r="F44" s="19">
        <f t="shared" si="5"/>
        <v>2.0920327238441873E-2</v>
      </c>
      <c r="G44" s="19">
        <f t="shared" si="5"/>
        <v>3.7852075707856946E-2</v>
      </c>
      <c r="H44" s="19">
        <f t="shared" si="5"/>
        <v>4.2496737085239274E-2</v>
      </c>
      <c r="I44" s="19">
        <f t="shared" si="5"/>
        <v>1.9831110708536277E-2</v>
      </c>
      <c r="J44" s="19">
        <f t="shared" si="5"/>
        <v>1.9918807975922364E-2</v>
      </c>
      <c r="K44" s="19">
        <f t="shared" si="5"/>
        <v>2.3936825029541219E-2</v>
      </c>
      <c r="L44" s="19">
        <f t="shared" si="5"/>
        <v>2.4272586163594519E-2</v>
      </c>
      <c r="M44" s="19">
        <f t="shared" si="5"/>
        <v>4.0216196408941009E-2</v>
      </c>
      <c r="N44" s="19">
        <f t="shared" si="5"/>
        <v>1.5798477443686416E-2</v>
      </c>
      <c r="O44" s="19">
        <f t="shared" si="5"/>
        <v>1.8860264903388903E-2</v>
      </c>
      <c r="P44" s="19">
        <f t="shared" si="5"/>
        <v>1.5265706251209444E-2</v>
      </c>
      <c r="Q44" s="19">
        <f t="shared" si="5"/>
        <v>1.7750050436221854E-2</v>
      </c>
      <c r="R44" s="19">
        <f t="shared" si="5"/>
        <v>1.5817210897517715E-2</v>
      </c>
      <c r="S44" s="19">
        <f t="shared" si="5"/>
        <v>1.2933494180277585E-2</v>
      </c>
      <c r="T44" s="19">
        <f t="shared" si="5"/>
        <v>1.7564156932818958E-2</v>
      </c>
      <c r="U44" s="19">
        <f t="shared" si="5"/>
        <v>2.7512650227889377E-2</v>
      </c>
      <c r="V44" s="19">
        <f t="shared" si="5"/>
        <v>1.9705534809227567E-2</v>
      </c>
      <c r="W44" s="19">
        <f t="shared" si="5"/>
        <v>5.4627574820591152E-3</v>
      </c>
      <c r="X44" s="172">
        <f>X15/Y15</f>
        <v>4.5264965147541383E-3</v>
      </c>
    </row>
    <row r="45" spans="1:26" x14ac:dyDescent="0.25">
      <c r="A45" s="70" t="s">
        <v>18</v>
      </c>
      <c r="B45" s="19">
        <f>B19/$Y$19</f>
        <v>0</v>
      </c>
      <c r="C45" s="19">
        <f t="shared" ref="C45:W45" si="6">C19/$Y$19</f>
        <v>0</v>
      </c>
      <c r="D45" s="19">
        <f t="shared" si="6"/>
        <v>0</v>
      </c>
      <c r="E45" s="19">
        <f t="shared" si="6"/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>
        <f t="shared" si="6"/>
        <v>0</v>
      </c>
      <c r="J45" s="19">
        <f t="shared" si="6"/>
        <v>0</v>
      </c>
      <c r="K45" s="19">
        <f t="shared" si="6"/>
        <v>0</v>
      </c>
      <c r="L45" s="19">
        <f t="shared" si="6"/>
        <v>0</v>
      </c>
      <c r="M45" s="19">
        <f t="shared" si="6"/>
        <v>0</v>
      </c>
      <c r="N45" s="19">
        <f t="shared" si="6"/>
        <v>0</v>
      </c>
      <c r="O45" s="19">
        <f t="shared" si="6"/>
        <v>0</v>
      </c>
      <c r="P45" s="19">
        <f t="shared" si="6"/>
        <v>0</v>
      </c>
      <c r="Q45" s="19">
        <f t="shared" si="6"/>
        <v>0</v>
      </c>
      <c r="R45" s="19">
        <f t="shared" si="6"/>
        <v>0</v>
      </c>
      <c r="S45" s="19">
        <f t="shared" si="6"/>
        <v>0</v>
      </c>
      <c r="T45" s="19">
        <f t="shared" si="6"/>
        <v>0</v>
      </c>
      <c r="U45" s="19">
        <f t="shared" si="6"/>
        <v>0</v>
      </c>
      <c r="V45" s="19">
        <f t="shared" si="6"/>
        <v>0</v>
      </c>
      <c r="W45" s="19">
        <f t="shared" si="6"/>
        <v>0</v>
      </c>
      <c r="X45" s="172">
        <f>X19/Y19</f>
        <v>1</v>
      </c>
    </row>
    <row r="46" spans="1:26" x14ac:dyDescent="0.25">
      <c r="A46" s="70" t="s">
        <v>19</v>
      </c>
      <c r="B46" s="19">
        <f>B21/$Y$21</f>
        <v>0.37382924274091395</v>
      </c>
      <c r="C46" s="19">
        <f t="shared" ref="C46:W46" si="7">C21/$Y$21</f>
        <v>0.10808232957891829</v>
      </c>
      <c r="D46" s="19">
        <f t="shared" si="7"/>
        <v>1.3817150779462431E-2</v>
      </c>
      <c r="E46" s="19">
        <f t="shared" si="7"/>
        <v>2.9776455074714773E-2</v>
      </c>
      <c r="F46" s="19">
        <f t="shared" si="7"/>
        <v>3.2804657489979828E-2</v>
      </c>
      <c r="G46" s="19">
        <f t="shared" si="7"/>
        <v>2.799914522341462E-2</v>
      </c>
      <c r="H46" s="19">
        <f t="shared" si="7"/>
        <v>5.4434674741873107E-2</v>
      </c>
      <c r="I46" s="19">
        <f t="shared" si="7"/>
        <v>3.0537414717793424E-2</v>
      </c>
      <c r="J46" s="19">
        <f t="shared" si="7"/>
        <v>2.2755820559461699E-2</v>
      </c>
      <c r="K46" s="19">
        <f t="shared" si="7"/>
        <v>3.9350995241396208E-2</v>
      </c>
      <c r="L46" s="19">
        <f t="shared" si="7"/>
        <v>9.1419398216435691E-3</v>
      </c>
      <c r="M46" s="19">
        <f t="shared" si="7"/>
        <v>6.4478299620041382E-2</v>
      </c>
      <c r="N46" s="19">
        <f t="shared" si="7"/>
        <v>2.5512996252534361E-2</v>
      </c>
      <c r="O46" s="19">
        <f t="shared" si="7"/>
        <v>2.5372270839088308E-2</v>
      </c>
      <c r="P46" s="19">
        <f t="shared" si="7"/>
        <v>1.1383122332080706E-2</v>
      </c>
      <c r="Q46" s="19">
        <f t="shared" si="7"/>
        <v>6.1085253540286554E-3</v>
      </c>
      <c r="R46" s="19">
        <f t="shared" si="7"/>
        <v>1.1398758489130266E-2</v>
      </c>
      <c r="S46" s="19">
        <f t="shared" si="7"/>
        <v>1.0491861380255705E-2</v>
      </c>
      <c r="T46" s="19">
        <f t="shared" si="7"/>
        <v>1.0043624878168277E-2</v>
      </c>
      <c r="U46" s="19">
        <f t="shared" si="7"/>
        <v>3.0964803010481441E-2</v>
      </c>
      <c r="V46" s="19">
        <f t="shared" si="7"/>
        <v>5.8468803260659966E-2</v>
      </c>
      <c r="W46" s="19">
        <f t="shared" si="7"/>
        <v>3.2471086139589187E-3</v>
      </c>
      <c r="X46" s="172">
        <f>X21/Y21</f>
        <v>0</v>
      </c>
    </row>
    <row r="47" spans="1:26" x14ac:dyDescent="0.25">
      <c r="A47" s="70" t="s">
        <v>23</v>
      </c>
      <c r="B47" s="19">
        <f>B25/$Y$25</f>
        <v>0.20825777653787139</v>
      </c>
      <c r="C47" s="19">
        <f t="shared" ref="C47:W47" si="8">C25/$Y$25</f>
        <v>8.3135723252894408E-2</v>
      </c>
      <c r="D47" s="19">
        <f t="shared" si="8"/>
        <v>1.5762309945599105E-2</v>
      </c>
      <c r="E47" s="19">
        <f t="shared" si="8"/>
        <v>0.16264472032361557</v>
      </c>
      <c r="F47" s="19">
        <f t="shared" si="8"/>
        <v>4.1846840563537456E-3</v>
      </c>
      <c r="G47" s="19">
        <f t="shared" si="8"/>
        <v>1.6738736225414982E-3</v>
      </c>
      <c r="H47" s="19">
        <f t="shared" si="8"/>
        <v>8.2298786441623653E-3</v>
      </c>
      <c r="I47" s="19">
        <f t="shared" si="8"/>
        <v>0.26335611661319569</v>
      </c>
      <c r="J47" s="19">
        <f t="shared" si="8"/>
        <v>0</v>
      </c>
      <c r="K47" s="19">
        <f t="shared" si="8"/>
        <v>0.10210629097503138</v>
      </c>
      <c r="L47" s="19">
        <f t="shared" si="8"/>
        <v>1.6738736225414984E-3</v>
      </c>
      <c r="M47" s="19">
        <f t="shared" si="8"/>
        <v>5.1053145487515696E-2</v>
      </c>
      <c r="N47" s="19">
        <f t="shared" si="8"/>
        <v>0</v>
      </c>
      <c r="O47" s="19">
        <f t="shared" si="8"/>
        <v>9.4852838610684897E-3</v>
      </c>
      <c r="P47" s="19">
        <f t="shared" si="8"/>
        <v>1.952852559631748E-3</v>
      </c>
      <c r="Q47" s="19">
        <f t="shared" si="8"/>
        <v>5.9980471474403683E-3</v>
      </c>
      <c r="R47" s="19">
        <f t="shared" si="8"/>
        <v>1.5762309945599105E-2</v>
      </c>
      <c r="S47" s="19">
        <f t="shared" si="8"/>
        <v>2.1202399218858976E-2</v>
      </c>
      <c r="T47" s="19">
        <f t="shared" si="8"/>
        <v>1.5901799414144234E-2</v>
      </c>
      <c r="U47" s="19">
        <f t="shared" si="8"/>
        <v>1.6320267819779608E-2</v>
      </c>
      <c r="V47" s="19">
        <f t="shared" si="8"/>
        <v>1.1298646952155112E-2</v>
      </c>
      <c r="W47" s="19">
        <f t="shared" si="8"/>
        <v>0</v>
      </c>
      <c r="X47" s="172">
        <f>X25/Y25</f>
        <v>0</v>
      </c>
    </row>
    <row r="48" spans="1:26" x14ac:dyDescent="0.25">
      <c r="A48" s="70" t="s">
        <v>26</v>
      </c>
      <c r="B48" s="19">
        <f>B28/$Y$28</f>
        <v>0</v>
      </c>
      <c r="C48" s="19">
        <f t="shared" ref="C48:W48" si="9">C28/$Y$28</f>
        <v>0</v>
      </c>
      <c r="D48" s="19">
        <f t="shared" si="9"/>
        <v>0</v>
      </c>
      <c r="E48" s="19">
        <f t="shared" si="9"/>
        <v>0</v>
      </c>
      <c r="F48" s="19">
        <f t="shared" si="9"/>
        <v>0</v>
      </c>
      <c r="G48" s="19">
        <f t="shared" si="9"/>
        <v>0</v>
      </c>
      <c r="H48" s="19">
        <f t="shared" si="9"/>
        <v>0</v>
      </c>
      <c r="I48" s="19">
        <f t="shared" si="9"/>
        <v>0</v>
      </c>
      <c r="J48" s="19">
        <f t="shared" si="9"/>
        <v>0</v>
      </c>
      <c r="K48" s="19">
        <f t="shared" si="9"/>
        <v>0</v>
      </c>
      <c r="L48" s="19">
        <f t="shared" si="9"/>
        <v>0</v>
      </c>
      <c r="M48" s="19">
        <f t="shared" si="9"/>
        <v>0</v>
      </c>
      <c r="N48" s="19">
        <f t="shared" si="9"/>
        <v>0</v>
      </c>
      <c r="O48" s="19">
        <f t="shared" si="9"/>
        <v>0</v>
      </c>
      <c r="P48" s="19">
        <f t="shared" si="9"/>
        <v>0</v>
      </c>
      <c r="Q48" s="19">
        <f t="shared" si="9"/>
        <v>0</v>
      </c>
      <c r="R48" s="19">
        <f t="shared" si="9"/>
        <v>0</v>
      </c>
      <c r="S48" s="19">
        <f t="shared" si="9"/>
        <v>0</v>
      </c>
      <c r="T48" s="19">
        <f t="shared" si="9"/>
        <v>0</v>
      </c>
      <c r="U48" s="19">
        <f t="shared" si="9"/>
        <v>0</v>
      </c>
      <c r="V48" s="19">
        <f t="shared" si="9"/>
        <v>0</v>
      </c>
      <c r="W48" s="19">
        <f t="shared" si="9"/>
        <v>1</v>
      </c>
      <c r="X48" s="172">
        <f>X28/Y28</f>
        <v>0</v>
      </c>
    </row>
    <row r="49" spans="1:24" x14ac:dyDescent="0.25">
      <c r="A49" s="70" t="s">
        <v>28</v>
      </c>
      <c r="B49" s="19">
        <f>B30/$Y$30</f>
        <v>0.83438577570915684</v>
      </c>
      <c r="C49" s="19">
        <f t="shared" ref="C49:W49" si="10">C30/$Y$30</f>
        <v>2.8238566218728271E-2</v>
      </c>
      <c r="D49" s="19">
        <f t="shared" si="10"/>
        <v>1.6886378794113892E-3</v>
      </c>
      <c r="E49" s="19">
        <f t="shared" si="10"/>
        <v>1.7539129571029217E-2</v>
      </c>
      <c r="F49" s="19">
        <f t="shared" si="10"/>
        <v>1.4474038966383338E-3</v>
      </c>
      <c r="G49" s="19">
        <f t="shared" si="10"/>
        <v>4.3564019241957687E-3</v>
      </c>
      <c r="H49" s="19">
        <f t="shared" si="10"/>
        <v>1.8645967844929123E-2</v>
      </c>
      <c r="I49" s="19">
        <f t="shared" si="10"/>
        <v>0</v>
      </c>
      <c r="J49" s="19">
        <f t="shared" si="10"/>
        <v>1.4332136623575657E-3</v>
      </c>
      <c r="K49" s="19">
        <f t="shared" si="10"/>
        <v>4.0016460671765692E-3</v>
      </c>
      <c r="L49" s="19">
        <f t="shared" si="10"/>
        <v>1.0784578053383662E-3</v>
      </c>
      <c r="M49" s="19">
        <f t="shared" si="10"/>
        <v>4.0016460671765692E-3</v>
      </c>
      <c r="N49" s="19">
        <f t="shared" si="10"/>
        <v>6.1869421464148385E-3</v>
      </c>
      <c r="O49" s="19">
        <f t="shared" si="10"/>
        <v>8.5283308027415544E-3</v>
      </c>
      <c r="P49" s="19">
        <f t="shared" si="10"/>
        <v>3.263753884576635E-4</v>
      </c>
      <c r="Q49" s="19">
        <f t="shared" si="10"/>
        <v>1.1522470235983595E-2</v>
      </c>
      <c r="R49" s="19">
        <f t="shared" si="10"/>
        <v>2.1299541655432731E-2</v>
      </c>
      <c r="S49" s="19">
        <f t="shared" si="10"/>
        <v>4.2570702842303935E-3</v>
      </c>
      <c r="T49" s="19">
        <f t="shared" si="10"/>
        <v>5.9031374607994786E-3</v>
      </c>
      <c r="U49" s="19">
        <f t="shared" si="10"/>
        <v>1.5524116303160166E-2</v>
      </c>
      <c r="V49" s="19">
        <f t="shared" si="10"/>
        <v>2.4123398277305563E-4</v>
      </c>
      <c r="W49" s="19">
        <f t="shared" si="10"/>
        <v>4.086787472861177E-3</v>
      </c>
      <c r="X49" s="172">
        <f>X30/Y30</f>
        <v>5.307147621007223E-3</v>
      </c>
    </row>
    <row r="50" spans="1:24" x14ac:dyDescent="0.25">
      <c r="A50" s="70" t="s">
        <v>29</v>
      </c>
      <c r="B50" s="19">
        <f>B32/$Y$32</f>
        <v>0</v>
      </c>
      <c r="C50" s="19">
        <f t="shared" ref="C50:W50" si="11">C32/$Y$32</f>
        <v>0</v>
      </c>
      <c r="D50" s="19">
        <f t="shared" si="11"/>
        <v>0</v>
      </c>
      <c r="E50" s="19">
        <f t="shared" si="11"/>
        <v>0</v>
      </c>
      <c r="F50" s="19">
        <f t="shared" si="11"/>
        <v>0</v>
      </c>
      <c r="G50" s="19">
        <f t="shared" si="11"/>
        <v>0</v>
      </c>
      <c r="H50" s="19">
        <f t="shared" si="11"/>
        <v>0</v>
      </c>
      <c r="I50" s="19">
        <f t="shared" si="11"/>
        <v>0</v>
      </c>
      <c r="J50" s="19">
        <f t="shared" si="11"/>
        <v>0</v>
      </c>
      <c r="K50" s="19">
        <f t="shared" si="11"/>
        <v>0</v>
      </c>
      <c r="L50" s="19">
        <f t="shared" si="11"/>
        <v>0</v>
      </c>
      <c r="M50" s="19">
        <f t="shared" si="11"/>
        <v>0</v>
      </c>
      <c r="N50" s="19">
        <f t="shared" si="11"/>
        <v>0</v>
      </c>
      <c r="O50" s="19">
        <f t="shared" si="11"/>
        <v>0</v>
      </c>
      <c r="P50" s="19">
        <f t="shared" si="11"/>
        <v>0</v>
      </c>
      <c r="Q50" s="19">
        <f t="shared" si="11"/>
        <v>0</v>
      </c>
      <c r="R50" s="19">
        <f t="shared" si="11"/>
        <v>0</v>
      </c>
      <c r="S50" s="19">
        <f t="shared" si="11"/>
        <v>0</v>
      </c>
      <c r="T50" s="19">
        <f t="shared" si="11"/>
        <v>0</v>
      </c>
      <c r="U50" s="19">
        <f t="shared" si="11"/>
        <v>0</v>
      </c>
      <c r="V50" s="19">
        <f t="shared" si="11"/>
        <v>0</v>
      </c>
      <c r="W50" s="19">
        <f t="shared" si="11"/>
        <v>0</v>
      </c>
      <c r="X50" s="172">
        <f>X32/Y32</f>
        <v>1</v>
      </c>
    </row>
    <row r="51" spans="1:24" x14ac:dyDescent="0.25">
      <c r="A51" s="70" t="s">
        <v>32</v>
      </c>
      <c r="B51" s="19">
        <f>B35/$Y$35</f>
        <v>0.22713445398377713</v>
      </c>
      <c r="C51" s="19">
        <f t="shared" ref="C51:W51" si="12">C35/$Y$35</f>
        <v>7.576147512604077E-2</v>
      </c>
      <c r="D51" s="19">
        <f t="shared" si="12"/>
        <v>4.9690521993027252E-2</v>
      </c>
      <c r="E51" s="19">
        <f t="shared" si="12"/>
        <v>3.0699699872061437E-2</v>
      </c>
      <c r="F51" s="19">
        <f t="shared" si="12"/>
        <v>3.9618369088858976E-2</v>
      </c>
      <c r="G51" s="19">
        <f t="shared" si="12"/>
        <v>4.0605217893623986E-2</v>
      </c>
      <c r="H51" s="19">
        <f t="shared" si="12"/>
        <v>9.7935023504775912E-2</v>
      </c>
      <c r="I51" s="19">
        <f t="shared" si="12"/>
        <v>4.5211746648324488E-2</v>
      </c>
      <c r="J51" s="19">
        <f t="shared" si="12"/>
        <v>4.6587410179169515E-2</v>
      </c>
      <c r="K51" s="19">
        <f t="shared" si="12"/>
        <v>3.2275325262033347E-2</v>
      </c>
      <c r="L51" s="19">
        <f t="shared" si="12"/>
        <v>2.6359786929530102E-2</v>
      </c>
      <c r="M51" s="19">
        <f t="shared" si="12"/>
        <v>5.799079064548799E-2</v>
      </c>
      <c r="N51" s="19">
        <f t="shared" si="12"/>
        <v>2.131815598135911E-2</v>
      </c>
      <c r="O51" s="19">
        <f t="shared" si="12"/>
        <v>2.2099488430910398E-2</v>
      </c>
      <c r="P51" s="19">
        <f t="shared" si="12"/>
        <v>1.2549458158906726E-2</v>
      </c>
      <c r="Q51" s="19">
        <f t="shared" si="12"/>
        <v>3.9418407229732097E-2</v>
      </c>
      <c r="R51" s="19">
        <f t="shared" si="12"/>
        <v>2.611353760301275E-2</v>
      </c>
      <c r="S51" s="19">
        <f t="shared" si="12"/>
        <v>2.8790804716878074E-2</v>
      </c>
      <c r="T51" s="19">
        <f t="shared" si="12"/>
        <v>2.6159825070403233E-2</v>
      </c>
      <c r="U51" s="19">
        <f t="shared" si="12"/>
        <v>2.1849536107001813E-2</v>
      </c>
      <c r="V51" s="19">
        <f t="shared" si="12"/>
        <v>1.5871046818847517E-2</v>
      </c>
      <c r="W51" s="19">
        <f t="shared" si="12"/>
        <v>2.4365722834348261E-3</v>
      </c>
      <c r="X51" s="172">
        <f>X35/Y35</f>
        <v>1.3523346472802409E-2</v>
      </c>
    </row>
    <row r="52" spans="1:24" x14ac:dyDescent="0.25">
      <c r="A52" s="70" t="s">
        <v>33</v>
      </c>
      <c r="B52" s="19">
        <f>B37/$Y$37</f>
        <v>0.36763158098518955</v>
      </c>
      <c r="C52" s="19">
        <f t="shared" ref="C52:W52" si="13">C37/$Y$37</f>
        <v>8.1565828954632186E-2</v>
      </c>
      <c r="D52" s="19">
        <f t="shared" si="13"/>
        <v>2.1613938922191562E-2</v>
      </c>
      <c r="E52" s="19">
        <f t="shared" si="13"/>
        <v>2.5108876254494518E-2</v>
      </c>
      <c r="F52" s="19">
        <f t="shared" si="13"/>
        <v>2.7598995779298727E-2</v>
      </c>
      <c r="G52" s="19">
        <f t="shared" si="13"/>
        <v>4.409545451958561E-2</v>
      </c>
      <c r="H52" s="19">
        <f t="shared" si="13"/>
        <v>5.8099461288904176E-2</v>
      </c>
      <c r="I52" s="19">
        <f t="shared" si="13"/>
        <v>4.8909809998002512E-2</v>
      </c>
      <c r="J52" s="19">
        <f t="shared" si="13"/>
        <v>3.354281498822443E-2</v>
      </c>
      <c r="K52" s="19">
        <f t="shared" si="13"/>
        <v>2.9762479543280932E-2</v>
      </c>
      <c r="L52" s="19">
        <f t="shared" si="13"/>
        <v>2.6779001005844093E-2</v>
      </c>
      <c r="M52" s="19">
        <f t="shared" si="13"/>
        <v>3.5653585468897735E-2</v>
      </c>
      <c r="N52" s="19">
        <f t="shared" si="13"/>
        <v>1.7009690194237724E-2</v>
      </c>
      <c r="O52" s="19">
        <f t="shared" si="13"/>
        <v>1.6609069241090135E-2</v>
      </c>
      <c r="P52" s="19">
        <f t="shared" si="13"/>
        <v>1.7083208897330483E-2</v>
      </c>
      <c r="Q52" s="19">
        <f t="shared" si="13"/>
        <v>1.5852237109759602E-2</v>
      </c>
      <c r="R52" s="19">
        <f t="shared" si="13"/>
        <v>1.565752450397967E-2</v>
      </c>
      <c r="S52" s="19">
        <f t="shared" si="13"/>
        <v>1.6399335682013329E-2</v>
      </c>
      <c r="T52" s="19">
        <f t="shared" si="13"/>
        <v>2.0160545068411122E-2</v>
      </c>
      <c r="U52" s="19">
        <f t="shared" si="13"/>
        <v>3.6788647070200388E-2</v>
      </c>
      <c r="V52" s="19">
        <f t="shared" si="13"/>
        <v>2.766327799558161E-2</v>
      </c>
      <c r="W52" s="19">
        <f t="shared" si="13"/>
        <v>1.1953599995372434E-2</v>
      </c>
      <c r="X52" s="172">
        <f>X37/Y37</f>
        <v>4.4610365334774617E-3</v>
      </c>
    </row>
    <row r="55" spans="1:24" ht="15.75" x14ac:dyDescent="0.25">
      <c r="B55" s="168" t="s">
        <v>188</v>
      </c>
      <c r="C55" s="168">
        <v>2000</v>
      </c>
      <c r="D55" s="169">
        <v>2001</v>
      </c>
      <c r="E55" s="168">
        <v>2002</v>
      </c>
      <c r="F55" s="168">
        <v>2003</v>
      </c>
      <c r="G55" s="168">
        <v>2004</v>
      </c>
      <c r="H55" s="168">
        <v>2005</v>
      </c>
      <c r="I55" s="168">
        <v>2006</v>
      </c>
      <c r="J55" s="168">
        <v>2007</v>
      </c>
      <c r="K55" s="168">
        <v>2008</v>
      </c>
      <c r="L55" s="168">
        <v>2009</v>
      </c>
      <c r="M55" s="168">
        <v>2010</v>
      </c>
      <c r="N55" s="168">
        <v>2011</v>
      </c>
      <c r="O55" s="168">
        <v>2012</v>
      </c>
      <c r="P55" s="168">
        <v>2013</v>
      </c>
      <c r="Q55" s="168">
        <v>2014</v>
      </c>
      <c r="R55" s="168">
        <v>2015</v>
      </c>
      <c r="S55" s="168">
        <v>2016</v>
      </c>
      <c r="T55" s="168">
        <v>2017</v>
      </c>
      <c r="U55" s="168">
        <v>2018</v>
      </c>
      <c r="V55" s="168">
        <v>2019</v>
      </c>
      <c r="W55" s="168">
        <v>2020</v>
      </c>
      <c r="X55" s="168" t="s">
        <v>183</v>
      </c>
    </row>
    <row r="56" spans="1:24" x14ac:dyDescent="0.25">
      <c r="A56" s="171" t="s">
        <v>3</v>
      </c>
      <c r="B56" s="170">
        <v>39404.079999999958</v>
      </c>
      <c r="C56" s="170">
        <v>8742.52</v>
      </c>
      <c r="D56" s="170">
        <v>2316.66</v>
      </c>
      <c r="E56" s="170">
        <v>2691.26</v>
      </c>
      <c r="F56" s="170">
        <v>2958.16</v>
      </c>
      <c r="G56" s="170">
        <v>4726.3099999999995</v>
      </c>
      <c r="H56" s="170">
        <v>6227.31</v>
      </c>
      <c r="I56" s="170">
        <v>5242.33</v>
      </c>
      <c r="J56" s="170">
        <v>3595.2400000000002</v>
      </c>
      <c r="K56" s="170">
        <v>3190.05</v>
      </c>
      <c r="L56" s="170">
        <v>2870.27</v>
      </c>
      <c r="M56" s="170">
        <v>3821.48</v>
      </c>
      <c r="N56" s="170">
        <v>1823.1599999999999</v>
      </c>
      <c r="O56" s="170">
        <v>1780.2200000000003</v>
      </c>
      <c r="P56" s="170">
        <v>1831.04</v>
      </c>
      <c r="Q56" s="170">
        <v>1699.1</v>
      </c>
      <c r="R56" s="170">
        <v>1678.2299999999998</v>
      </c>
      <c r="S56" s="170">
        <v>1757.7399999999998</v>
      </c>
      <c r="T56" s="170">
        <v>2160.88</v>
      </c>
      <c r="U56" s="170">
        <v>3943.1399999999994</v>
      </c>
      <c r="V56" s="170">
        <v>2965.0499999999997</v>
      </c>
      <c r="W56" s="170">
        <v>1281.2300000000002</v>
      </c>
      <c r="X56" s="170">
        <f>SUM(B56:W56)</f>
        <v>106705.45999999998</v>
      </c>
    </row>
    <row r="57" spans="1:24" x14ac:dyDescent="0.25">
      <c r="A57" s="171" t="s">
        <v>186</v>
      </c>
      <c r="B57" s="170">
        <v>28649.28999999999</v>
      </c>
      <c r="C57" s="170">
        <v>8148.5899999999983</v>
      </c>
      <c r="D57" s="170">
        <v>2499.3200000000002</v>
      </c>
      <c r="E57" s="170">
        <v>2875.9799999999996</v>
      </c>
      <c r="F57" s="170">
        <v>2573.5099999999993</v>
      </c>
      <c r="G57" s="170">
        <v>3856.29</v>
      </c>
      <c r="H57" s="170">
        <v>3048.75</v>
      </c>
      <c r="I57" s="170">
        <v>1391.82</v>
      </c>
      <c r="J57" s="170">
        <v>1500.42</v>
      </c>
      <c r="K57" s="170">
        <v>1492.8999999999999</v>
      </c>
      <c r="L57" s="170">
        <v>1424.6400000000003</v>
      </c>
      <c r="M57" s="170">
        <v>2600.7199999999998</v>
      </c>
      <c r="N57" s="170">
        <v>1466.02</v>
      </c>
      <c r="O57" s="170">
        <v>2004.96</v>
      </c>
      <c r="P57" s="170">
        <v>1960.1799999999996</v>
      </c>
      <c r="Q57" s="170">
        <v>2577.54</v>
      </c>
      <c r="R57" s="170">
        <v>3425.57</v>
      </c>
      <c r="S57" s="170">
        <v>2244.9299999999998</v>
      </c>
      <c r="T57" s="170">
        <v>1705.47</v>
      </c>
      <c r="U57" s="170">
        <v>1629.3700000000001</v>
      </c>
      <c r="V57" s="170">
        <v>1109.9899999999998</v>
      </c>
      <c r="W57" s="170">
        <v>530.26</v>
      </c>
      <c r="X57" s="170">
        <f t="shared" ref="X57:X60" si="14">SUM(B57:W57)</f>
        <v>78716.51999999999</v>
      </c>
    </row>
    <row r="58" spans="1:24" x14ac:dyDescent="0.25">
      <c r="A58" s="171" t="s">
        <v>41</v>
      </c>
      <c r="B58" s="170">
        <v>9760.7400000000016</v>
      </c>
      <c r="C58" s="170">
        <v>2388.66</v>
      </c>
      <c r="D58" s="170">
        <v>553.43000000000006</v>
      </c>
      <c r="E58" s="170">
        <v>445.33999999999992</v>
      </c>
      <c r="F58" s="170">
        <v>396.46</v>
      </c>
      <c r="G58" s="170">
        <v>424.09000000000009</v>
      </c>
      <c r="H58" s="170">
        <v>855.99</v>
      </c>
      <c r="I58" s="170">
        <v>202.19000000000003</v>
      </c>
      <c r="J58" s="170">
        <v>295.96000000000004</v>
      </c>
      <c r="K58" s="170">
        <v>310.56</v>
      </c>
      <c r="L58" s="170">
        <v>300.73000000000008</v>
      </c>
      <c r="M58" s="170">
        <v>1041.92</v>
      </c>
      <c r="N58" s="170">
        <v>539.64</v>
      </c>
      <c r="O58" s="170">
        <v>568.47</v>
      </c>
      <c r="P58" s="170">
        <v>843.21999999999991</v>
      </c>
      <c r="Q58" s="170">
        <v>1205.07</v>
      </c>
      <c r="R58" s="170">
        <v>1479.94</v>
      </c>
      <c r="S58" s="170">
        <v>1131.56</v>
      </c>
      <c r="T58" s="170">
        <v>1255.03</v>
      </c>
      <c r="U58" s="170">
        <v>1418.9500000000003</v>
      </c>
      <c r="V58" s="170">
        <v>1029.31</v>
      </c>
      <c r="W58" s="170">
        <v>310.14000000000004</v>
      </c>
      <c r="X58" s="170">
        <f t="shared" si="14"/>
        <v>26757.4</v>
      </c>
    </row>
    <row r="59" spans="1:24" x14ac:dyDescent="0.25">
      <c r="A59" s="171" t="s">
        <v>42</v>
      </c>
      <c r="B59" s="170">
        <v>297.75000000000011</v>
      </c>
      <c r="C59" s="170">
        <v>172.66</v>
      </c>
      <c r="D59" s="170">
        <v>44.96</v>
      </c>
      <c r="E59" s="170">
        <v>27.939999999999998</v>
      </c>
      <c r="F59" s="170">
        <v>92.740000000000009</v>
      </c>
      <c r="G59" s="170">
        <v>45.76</v>
      </c>
      <c r="H59" s="170">
        <v>87.97999999999999</v>
      </c>
      <c r="I59" s="170">
        <v>70.53</v>
      </c>
      <c r="J59" s="170">
        <v>88.70999999999998</v>
      </c>
      <c r="K59" s="170">
        <v>50.449999999999996</v>
      </c>
      <c r="L59" s="170">
        <v>32.22</v>
      </c>
      <c r="M59" s="170">
        <v>111.01</v>
      </c>
      <c r="N59" s="170">
        <v>61.05</v>
      </c>
      <c r="O59" s="170">
        <v>41.160000000000004</v>
      </c>
      <c r="P59" s="170">
        <v>36.94</v>
      </c>
      <c r="Q59" s="170">
        <v>99.710000000000008</v>
      </c>
      <c r="R59" s="170">
        <v>37.85</v>
      </c>
      <c r="S59" s="170">
        <v>105.73</v>
      </c>
      <c r="T59" s="170">
        <v>118.96</v>
      </c>
      <c r="U59" s="170">
        <v>117.15</v>
      </c>
      <c r="V59" s="170">
        <v>186.26000000000002</v>
      </c>
      <c r="W59" s="170">
        <v>131.25</v>
      </c>
      <c r="X59" s="170">
        <f t="shared" si="14"/>
        <v>2058.7700000000004</v>
      </c>
    </row>
    <row r="60" spans="1:24" x14ac:dyDescent="0.25">
      <c r="A60" s="171" t="s">
        <v>208</v>
      </c>
      <c r="B60" s="170">
        <f>SUM(B56:B59)</f>
        <v>78111.859999999957</v>
      </c>
      <c r="C60" s="170">
        <f t="shared" ref="C60:W60" si="15">SUM(C56:C59)</f>
        <v>19452.43</v>
      </c>
      <c r="D60" s="170">
        <f t="shared" si="15"/>
        <v>5414.37</v>
      </c>
      <c r="E60" s="170">
        <f t="shared" si="15"/>
        <v>6040.5199999999995</v>
      </c>
      <c r="F60" s="170">
        <f t="shared" si="15"/>
        <v>6020.869999999999</v>
      </c>
      <c r="G60" s="170">
        <f t="shared" si="15"/>
        <v>9052.4499999999989</v>
      </c>
      <c r="H60" s="170">
        <f t="shared" si="15"/>
        <v>10220.030000000001</v>
      </c>
      <c r="I60" s="170">
        <f t="shared" si="15"/>
        <v>6906.869999999999</v>
      </c>
      <c r="J60" s="170">
        <f t="shared" si="15"/>
        <v>5480.33</v>
      </c>
      <c r="K60" s="170">
        <f t="shared" si="15"/>
        <v>5043.96</v>
      </c>
      <c r="L60" s="170">
        <f t="shared" si="15"/>
        <v>4627.8600000000006</v>
      </c>
      <c r="M60" s="170">
        <f t="shared" si="15"/>
        <v>7575.13</v>
      </c>
      <c r="N60" s="170">
        <f t="shared" si="15"/>
        <v>3889.87</v>
      </c>
      <c r="O60" s="170">
        <f t="shared" si="15"/>
        <v>4394.8100000000004</v>
      </c>
      <c r="P60" s="170">
        <f t="shared" si="15"/>
        <v>4671.3799999999992</v>
      </c>
      <c r="Q60" s="170">
        <f t="shared" si="15"/>
        <v>5581.4199999999992</v>
      </c>
      <c r="R60" s="170">
        <f t="shared" si="15"/>
        <v>6621.59</v>
      </c>
      <c r="S60" s="170">
        <f t="shared" si="15"/>
        <v>5239.9599999999991</v>
      </c>
      <c r="T60" s="170">
        <f t="shared" si="15"/>
        <v>5240.34</v>
      </c>
      <c r="U60" s="170">
        <f t="shared" si="15"/>
        <v>7108.6099999999988</v>
      </c>
      <c r="V60" s="170">
        <f t="shared" si="15"/>
        <v>5290.61</v>
      </c>
      <c r="W60" s="170">
        <f t="shared" si="15"/>
        <v>2252.88</v>
      </c>
      <c r="X60" s="170">
        <f t="shared" si="14"/>
        <v>214238.14999999991</v>
      </c>
    </row>
    <row r="61" spans="1:24" x14ac:dyDescent="0.25">
      <c r="A61" s="186" t="s">
        <v>209</v>
      </c>
      <c r="B61" s="188">
        <f>B56/$X$56</f>
        <v>0.36927894786264887</v>
      </c>
      <c r="C61" s="188">
        <f t="shared" ref="C61:X61" si="16">C56/$X$56</f>
        <v>8.1931327600293397E-2</v>
      </c>
      <c r="D61" s="188">
        <f t="shared" si="16"/>
        <v>2.1710791556495801E-2</v>
      </c>
      <c r="E61" s="188">
        <f t="shared" si="16"/>
        <v>2.522138979579865E-2</v>
      </c>
      <c r="F61" s="188">
        <f t="shared" si="16"/>
        <v>2.7722667612322748E-2</v>
      </c>
      <c r="G61" s="188">
        <f t="shared" si="16"/>
        <v>4.4293047422315601E-2</v>
      </c>
      <c r="H61" s="188">
        <f t="shared" si="16"/>
        <v>5.8359806517867048E-2</v>
      </c>
      <c r="I61" s="188">
        <f t="shared" si="16"/>
        <v>4.9128976155484463E-2</v>
      </c>
      <c r="J61" s="188">
        <f t="shared" si="16"/>
        <v>3.3693121232971593E-2</v>
      </c>
      <c r="K61" s="188">
        <f t="shared" si="16"/>
        <v>2.9895846004506243E-2</v>
      </c>
      <c r="L61" s="188">
        <f t="shared" si="16"/>
        <v>2.6898998420511945E-2</v>
      </c>
      <c r="M61" s="188">
        <f t="shared" si="16"/>
        <v>3.5813350132223795E-2</v>
      </c>
      <c r="N61" s="188">
        <f t="shared" si="16"/>
        <v>1.7085911067718562E-2</v>
      </c>
      <c r="O61" s="188">
        <f t="shared" si="16"/>
        <v>1.6683494921440764E-2</v>
      </c>
      <c r="P61" s="188">
        <f t="shared" si="16"/>
        <v>1.715975921007229E-2</v>
      </c>
      <c r="Q61" s="188">
        <f t="shared" si="16"/>
        <v>1.5923271405230813E-2</v>
      </c>
      <c r="R61" s="188">
        <f t="shared" si="16"/>
        <v>1.5727686287093465E-2</v>
      </c>
      <c r="S61" s="188">
        <f t="shared" si="16"/>
        <v>1.6472821540715912E-2</v>
      </c>
      <c r="T61" s="188">
        <f t="shared" si="16"/>
        <v>2.0250885006259291E-2</v>
      </c>
      <c r="U61" s="188">
        <f t="shared" si="16"/>
        <v>3.6953497974705325E-2</v>
      </c>
      <c r="V61" s="188">
        <f t="shared" si="16"/>
        <v>2.7787237878923912E-2</v>
      </c>
      <c r="W61" s="188">
        <f t="shared" si="16"/>
        <v>1.2007164394399316E-2</v>
      </c>
      <c r="X61" s="188">
        <f t="shared" si="16"/>
        <v>1</v>
      </c>
    </row>
    <row r="62" spans="1:24" x14ac:dyDescent="0.25">
      <c r="A62" s="187" t="s">
        <v>210</v>
      </c>
      <c r="B62" s="188">
        <f>B57/$X$57</f>
        <v>0.36395524090749937</v>
      </c>
      <c r="C62" s="188">
        <f t="shared" ref="C62:X62" si="17">C57/$X$57</f>
        <v>0.10351816874018312</v>
      </c>
      <c r="D62" s="188">
        <f t="shared" si="17"/>
        <v>3.175089549182307E-2</v>
      </c>
      <c r="E62" s="188">
        <f t="shared" si="17"/>
        <v>3.6535913935219697E-2</v>
      </c>
      <c r="F62" s="188">
        <f t="shared" si="17"/>
        <v>3.2693391425332313E-2</v>
      </c>
      <c r="G62" s="188">
        <f t="shared" si="17"/>
        <v>4.8989589478803185E-2</v>
      </c>
      <c r="H62" s="188">
        <f t="shared" si="17"/>
        <v>3.8730751816772394E-2</v>
      </c>
      <c r="I62" s="188">
        <f t="shared" si="17"/>
        <v>1.768142189212633E-2</v>
      </c>
      <c r="J62" s="188">
        <f t="shared" si="17"/>
        <v>1.9061056052782823E-2</v>
      </c>
      <c r="K62" s="188">
        <f t="shared" si="17"/>
        <v>1.8965523374254858E-2</v>
      </c>
      <c r="L62" s="188">
        <f t="shared" si="17"/>
        <v>1.8098361055595452E-2</v>
      </c>
      <c r="M62" s="188">
        <f t="shared" si="17"/>
        <v>3.3039062194314489E-2</v>
      </c>
      <c r="N62" s="188">
        <f t="shared" si="17"/>
        <v>1.8624044863771928E-2</v>
      </c>
      <c r="O62" s="188">
        <f t="shared" si="17"/>
        <v>2.5470638183700198E-2</v>
      </c>
      <c r="P62" s="188">
        <f t="shared" si="17"/>
        <v>2.4901761409167986E-2</v>
      </c>
      <c r="Q62" s="188">
        <f t="shared" si="17"/>
        <v>3.2744587794277497E-2</v>
      </c>
      <c r="R62" s="188">
        <f t="shared" si="17"/>
        <v>4.3517802870350474E-2</v>
      </c>
      <c r="S62" s="188">
        <f t="shared" si="17"/>
        <v>2.851917234146022E-2</v>
      </c>
      <c r="T62" s="188">
        <f t="shared" si="17"/>
        <v>2.1665973038442251E-2</v>
      </c>
      <c r="U62" s="188">
        <f t="shared" si="17"/>
        <v>2.0699212820891984E-2</v>
      </c>
      <c r="V62" s="188">
        <f t="shared" si="17"/>
        <v>1.4101106095645487E-2</v>
      </c>
      <c r="W62" s="188">
        <f t="shared" si="17"/>
        <v>6.7363242175848227E-3</v>
      </c>
      <c r="X62" s="188">
        <f t="shared" si="17"/>
        <v>1</v>
      </c>
    </row>
    <row r="63" spans="1:24" x14ac:dyDescent="0.25">
      <c r="A63" s="187" t="s">
        <v>211</v>
      </c>
      <c r="B63" s="188">
        <f>B58/$X$58</f>
        <v>0.36478656371695312</v>
      </c>
      <c r="C63" s="188">
        <f t="shared" ref="C63:X63" si="18">C58/$X$58</f>
        <v>8.9271005404112494E-2</v>
      </c>
      <c r="D63" s="188">
        <f t="shared" si="18"/>
        <v>2.0683250241054812E-2</v>
      </c>
      <c r="E63" s="188">
        <f t="shared" si="18"/>
        <v>1.6643620082668717E-2</v>
      </c>
      <c r="F63" s="188">
        <f t="shared" si="18"/>
        <v>1.4816835716474692E-2</v>
      </c>
      <c r="G63" s="188">
        <f t="shared" si="18"/>
        <v>1.584944725571244E-2</v>
      </c>
      <c r="H63" s="188">
        <f t="shared" si="18"/>
        <v>3.1990776383355631E-2</v>
      </c>
      <c r="I63" s="188">
        <f t="shared" si="18"/>
        <v>7.5564143003430829E-3</v>
      </c>
      <c r="J63" s="188">
        <f t="shared" si="18"/>
        <v>1.1060865405457931E-2</v>
      </c>
      <c r="K63" s="188">
        <f t="shared" si="18"/>
        <v>1.1606508853625538E-2</v>
      </c>
      <c r="L63" s="188">
        <f t="shared" si="18"/>
        <v>1.1239133847085294E-2</v>
      </c>
      <c r="M63" s="188">
        <f t="shared" si="18"/>
        <v>3.8939508322931228E-2</v>
      </c>
      <c r="N63" s="188">
        <f t="shared" si="18"/>
        <v>2.0167878792408826E-2</v>
      </c>
      <c r="O63" s="188">
        <f t="shared" si="18"/>
        <v>2.124533773834528E-2</v>
      </c>
      <c r="P63" s="188">
        <f t="shared" si="18"/>
        <v>3.1513525230403544E-2</v>
      </c>
      <c r="Q63" s="188">
        <f t="shared" si="18"/>
        <v>4.5036886992009681E-2</v>
      </c>
      <c r="R63" s="188">
        <f t="shared" si="18"/>
        <v>5.5309559224737827E-2</v>
      </c>
      <c r="S63" s="188">
        <f t="shared" si="18"/>
        <v>4.2289609603324681E-2</v>
      </c>
      <c r="T63" s="188">
        <f t="shared" si="18"/>
        <v>4.6904034024232544E-2</v>
      </c>
      <c r="U63" s="188">
        <f t="shared" si="18"/>
        <v>5.3030189779276024E-2</v>
      </c>
      <c r="V63" s="188">
        <f t="shared" si="18"/>
        <v>3.8468236824205637E-2</v>
      </c>
      <c r="W63" s="188">
        <f t="shared" si="18"/>
        <v>1.1590812261280992E-2</v>
      </c>
      <c r="X63" s="188">
        <f t="shared" si="18"/>
        <v>1</v>
      </c>
    </row>
    <row r="64" spans="1:24" x14ac:dyDescent="0.25">
      <c r="A64" s="187" t="s">
        <v>212</v>
      </c>
      <c r="B64" s="188">
        <f>B59/$X$59</f>
        <v>0.14462518882633807</v>
      </c>
      <c r="C64" s="188">
        <f t="shared" ref="C64:X64" si="19">C59/$X$59</f>
        <v>8.3865609077264563E-2</v>
      </c>
      <c r="D64" s="188">
        <f t="shared" si="19"/>
        <v>2.1838282081048387E-2</v>
      </c>
      <c r="E64" s="188">
        <f t="shared" si="19"/>
        <v>1.3571209994316991E-2</v>
      </c>
      <c r="F64" s="188">
        <f t="shared" si="19"/>
        <v>4.5046314061308448E-2</v>
      </c>
      <c r="G64" s="188">
        <f t="shared" si="19"/>
        <v>2.222686361273964E-2</v>
      </c>
      <c r="H64" s="188">
        <f t="shared" si="19"/>
        <v>4.2734253947745486E-2</v>
      </c>
      <c r="I64" s="188">
        <f t="shared" si="19"/>
        <v>3.4258319287730044E-2</v>
      </c>
      <c r="J64" s="188">
        <f t="shared" si="19"/>
        <v>4.3088834595413746E-2</v>
      </c>
      <c r="K64" s="188">
        <f t="shared" si="19"/>
        <v>2.4504922842279606E-2</v>
      </c>
      <c r="L64" s="188">
        <f t="shared" si="19"/>
        <v>1.5650121188865194E-2</v>
      </c>
      <c r="M64" s="188">
        <f t="shared" si="19"/>
        <v>5.3920544791307423E-2</v>
      </c>
      <c r="N64" s="188">
        <f t="shared" si="19"/>
        <v>2.9653628137188703E-2</v>
      </c>
      <c r="O64" s="188">
        <f t="shared" si="19"/>
        <v>1.999251980551494E-2</v>
      </c>
      <c r="P64" s="188">
        <f t="shared" si="19"/>
        <v>1.7942752225843583E-2</v>
      </c>
      <c r="Q64" s="188">
        <f t="shared" si="19"/>
        <v>4.8431830656168483E-2</v>
      </c>
      <c r="R64" s="188">
        <f t="shared" si="19"/>
        <v>1.8384763718142384E-2</v>
      </c>
      <c r="S64" s="188">
        <f t="shared" si="19"/>
        <v>5.1355906682145153E-2</v>
      </c>
      <c r="T64" s="188">
        <f t="shared" si="19"/>
        <v>5.7782073762489235E-2</v>
      </c>
      <c r="U64" s="188">
        <f t="shared" si="19"/>
        <v>5.6902908047037785E-2</v>
      </c>
      <c r="V64" s="188">
        <f t="shared" si="19"/>
        <v>9.0471495116015863E-2</v>
      </c>
      <c r="W64" s="188">
        <f t="shared" si="19"/>
        <v>6.3751657543096113E-2</v>
      </c>
      <c r="X64" s="188">
        <f t="shared" si="19"/>
        <v>1</v>
      </c>
    </row>
    <row r="65" spans="1:24" x14ac:dyDescent="0.25">
      <c r="A65" s="187" t="s">
        <v>213</v>
      </c>
      <c r="B65" s="188">
        <f>B60/$X$60</f>
        <v>0.36460294303325524</v>
      </c>
      <c r="C65" s="188">
        <f t="shared" ref="C65:X65" si="20">C60/$X$60</f>
        <v>9.0798160831765992E-2</v>
      </c>
      <c r="D65" s="188">
        <f t="shared" si="20"/>
        <v>2.5272669690248922E-2</v>
      </c>
      <c r="E65" s="188">
        <f t="shared" si="20"/>
        <v>2.8195351761579356E-2</v>
      </c>
      <c r="F65" s="188">
        <f t="shared" si="20"/>
        <v>2.810363140271703E-2</v>
      </c>
      <c r="G65" s="188">
        <f t="shared" si="20"/>
        <v>4.225414567853579E-2</v>
      </c>
      <c r="H65" s="188">
        <f t="shared" si="20"/>
        <v>4.7704062044971941E-2</v>
      </c>
      <c r="I65" s="188">
        <f t="shared" si="20"/>
        <v>3.2239216031318428E-2</v>
      </c>
      <c r="J65" s="188">
        <f t="shared" si="20"/>
        <v>2.5580551363050895E-2</v>
      </c>
      <c r="K65" s="188">
        <f t="shared" si="20"/>
        <v>2.3543705917923593E-2</v>
      </c>
      <c r="L65" s="188">
        <f t="shared" si="20"/>
        <v>2.1601474807358086E-2</v>
      </c>
      <c r="M65" s="188">
        <f t="shared" si="20"/>
        <v>3.5358455065075962E-2</v>
      </c>
      <c r="N65" s="188">
        <f t="shared" si="20"/>
        <v>1.8156756861464691E-2</v>
      </c>
      <c r="O65" s="188">
        <f t="shared" si="20"/>
        <v>2.0513666683548204E-2</v>
      </c>
      <c r="P65" s="188">
        <f t="shared" si="20"/>
        <v>2.1804613230650104E-2</v>
      </c>
      <c r="Q65" s="188">
        <f t="shared" si="20"/>
        <v>2.6052409433147183E-2</v>
      </c>
      <c r="R65" s="188">
        <f t="shared" si="20"/>
        <v>3.0907613793341678E-2</v>
      </c>
      <c r="S65" s="188">
        <f t="shared" si="20"/>
        <v>2.4458575655176267E-2</v>
      </c>
      <c r="T65" s="188">
        <f t="shared" si="20"/>
        <v>2.4460349382217885E-2</v>
      </c>
      <c r="U65" s="188">
        <f t="shared" si="20"/>
        <v>3.3180878382304935E-2</v>
      </c>
      <c r="V65" s="188">
        <f t="shared" si="20"/>
        <v>2.4694994799012229E-2</v>
      </c>
      <c r="W65" s="188">
        <f t="shared" si="20"/>
        <v>1.0515774151335797E-2</v>
      </c>
      <c r="X65" s="188">
        <f t="shared" si="20"/>
        <v>1</v>
      </c>
    </row>
    <row r="66" spans="1:24" x14ac:dyDescent="0.25">
      <c r="A66" s="189" t="s">
        <v>214</v>
      </c>
    </row>
    <row r="67" spans="1:24" x14ac:dyDescent="0.25">
      <c r="A67" s="171" t="s">
        <v>3</v>
      </c>
      <c r="B67" s="190">
        <f>B61</f>
        <v>0.36927894786264887</v>
      </c>
      <c r="C67" s="190">
        <f t="shared" ref="C67:W67" si="21">C61+B67</f>
        <v>0.45121027546294223</v>
      </c>
      <c r="D67" s="190">
        <f t="shared" si="21"/>
        <v>0.47292106701943804</v>
      </c>
      <c r="E67" s="190">
        <f t="shared" si="21"/>
        <v>0.49814245681523667</v>
      </c>
      <c r="F67" s="190">
        <f t="shared" si="21"/>
        <v>0.52586512442755939</v>
      </c>
      <c r="G67" s="190">
        <f t="shared" si="21"/>
        <v>0.57015817184987494</v>
      </c>
      <c r="H67" s="190">
        <f t="shared" si="21"/>
        <v>0.62851797836774204</v>
      </c>
      <c r="I67" s="190">
        <f t="shared" si="21"/>
        <v>0.67764695452322654</v>
      </c>
      <c r="J67" s="190">
        <f t="shared" si="21"/>
        <v>0.71134007575619818</v>
      </c>
      <c r="K67" s="190">
        <f t="shared" si="21"/>
        <v>0.74123592176070441</v>
      </c>
      <c r="L67" s="190">
        <f t="shared" si="21"/>
        <v>0.76813492018121632</v>
      </c>
      <c r="M67" s="190">
        <f t="shared" si="21"/>
        <v>0.80394827031344007</v>
      </c>
      <c r="N67" s="190">
        <f t="shared" si="21"/>
        <v>0.82103418138115858</v>
      </c>
      <c r="O67" s="190">
        <f t="shared" si="21"/>
        <v>0.8377176763025993</v>
      </c>
      <c r="P67" s="190">
        <f t="shared" si="21"/>
        <v>0.85487743551267159</v>
      </c>
      <c r="Q67" s="190">
        <f t="shared" si="21"/>
        <v>0.87080070691790246</v>
      </c>
      <c r="R67" s="190">
        <f t="shared" si="21"/>
        <v>0.88652839320499588</v>
      </c>
      <c r="S67" s="190">
        <f t="shared" si="21"/>
        <v>0.90300121474571182</v>
      </c>
      <c r="T67" s="190">
        <f t="shared" si="21"/>
        <v>0.92325209975197109</v>
      </c>
      <c r="U67" s="190">
        <f t="shared" si="21"/>
        <v>0.96020559772667646</v>
      </c>
      <c r="V67" s="190">
        <f t="shared" si="21"/>
        <v>0.98799283560560036</v>
      </c>
      <c r="W67" s="190">
        <f t="shared" si="21"/>
        <v>0.99999999999999967</v>
      </c>
      <c r="X67" s="190"/>
    </row>
    <row r="68" spans="1:24" x14ac:dyDescent="0.25">
      <c r="A68" s="171" t="s">
        <v>186</v>
      </c>
      <c r="B68" s="190">
        <f t="shared" ref="B68:B71" si="22">B62</f>
        <v>0.36395524090749937</v>
      </c>
      <c r="C68" s="190">
        <f t="shared" ref="C68:W68" si="23">C62+B68</f>
        <v>0.46747340964768247</v>
      </c>
      <c r="D68" s="190">
        <f t="shared" si="23"/>
        <v>0.49922430513950555</v>
      </c>
      <c r="E68" s="190">
        <f t="shared" si="23"/>
        <v>0.53576021907472526</v>
      </c>
      <c r="F68" s="190">
        <f t="shared" si="23"/>
        <v>0.5684536105000576</v>
      </c>
      <c r="G68" s="190">
        <f t="shared" si="23"/>
        <v>0.61744319997886077</v>
      </c>
      <c r="H68" s="190">
        <f t="shared" si="23"/>
        <v>0.6561739517956332</v>
      </c>
      <c r="I68" s="190">
        <f t="shared" si="23"/>
        <v>0.6738553736877595</v>
      </c>
      <c r="J68" s="190">
        <f t="shared" si="23"/>
        <v>0.69291642974054235</v>
      </c>
      <c r="K68" s="190">
        <f t="shared" si="23"/>
        <v>0.71188195311479718</v>
      </c>
      <c r="L68" s="190">
        <f t="shared" si="23"/>
        <v>0.72998031417039266</v>
      </c>
      <c r="M68" s="190">
        <f t="shared" si="23"/>
        <v>0.76301937636470718</v>
      </c>
      <c r="N68" s="190">
        <f t="shared" si="23"/>
        <v>0.78164342122847907</v>
      </c>
      <c r="O68" s="190">
        <f t="shared" si="23"/>
        <v>0.80711405941217929</v>
      </c>
      <c r="P68" s="190">
        <f t="shared" si="23"/>
        <v>0.83201582082134729</v>
      </c>
      <c r="Q68" s="190">
        <f t="shared" si="23"/>
        <v>0.86476040861562475</v>
      </c>
      <c r="R68" s="190">
        <f t="shared" si="23"/>
        <v>0.90827821148597521</v>
      </c>
      <c r="S68" s="190">
        <f t="shared" si="23"/>
        <v>0.93679738382743538</v>
      </c>
      <c r="T68" s="190">
        <f t="shared" si="23"/>
        <v>0.95846335686587758</v>
      </c>
      <c r="U68" s="190">
        <f t="shared" si="23"/>
        <v>0.97916256968676951</v>
      </c>
      <c r="V68" s="190">
        <f t="shared" si="23"/>
        <v>0.99326367578241503</v>
      </c>
      <c r="W68" s="190">
        <f t="shared" si="23"/>
        <v>0.99999999999999989</v>
      </c>
    </row>
    <row r="69" spans="1:24" x14ac:dyDescent="0.25">
      <c r="A69" s="171" t="s">
        <v>41</v>
      </c>
      <c r="B69" s="190">
        <f t="shared" si="22"/>
        <v>0.36478656371695312</v>
      </c>
      <c r="C69" s="190">
        <f t="shared" ref="C69:W69" si="24">C63+B69</f>
        <v>0.4540575691210656</v>
      </c>
      <c r="D69" s="190">
        <f t="shared" si="24"/>
        <v>0.47474081936212043</v>
      </c>
      <c r="E69" s="190">
        <f t="shared" si="24"/>
        <v>0.49138443944478916</v>
      </c>
      <c r="F69" s="190">
        <f t="shared" si="24"/>
        <v>0.5062012751612639</v>
      </c>
      <c r="G69" s="190">
        <f t="shared" si="24"/>
        <v>0.52205072241697636</v>
      </c>
      <c r="H69" s="190">
        <f t="shared" si="24"/>
        <v>0.55404149880033204</v>
      </c>
      <c r="I69" s="190">
        <f t="shared" si="24"/>
        <v>0.56159791310067508</v>
      </c>
      <c r="J69" s="190">
        <f t="shared" si="24"/>
        <v>0.572658778506133</v>
      </c>
      <c r="K69" s="190">
        <f t="shared" si="24"/>
        <v>0.58426528735975858</v>
      </c>
      <c r="L69" s="190">
        <f t="shared" si="24"/>
        <v>0.59550442120684388</v>
      </c>
      <c r="M69" s="190">
        <f t="shared" si="24"/>
        <v>0.63444392952977513</v>
      </c>
      <c r="N69" s="190">
        <f t="shared" si="24"/>
        <v>0.65461180832218391</v>
      </c>
      <c r="O69" s="190">
        <f t="shared" si="24"/>
        <v>0.67585714606052916</v>
      </c>
      <c r="P69" s="190">
        <f t="shared" si="24"/>
        <v>0.70737067129093267</v>
      </c>
      <c r="Q69" s="190">
        <f t="shared" si="24"/>
        <v>0.75240755828294237</v>
      </c>
      <c r="R69" s="190">
        <f t="shared" si="24"/>
        <v>0.80771711750768016</v>
      </c>
      <c r="S69" s="190">
        <f t="shared" si="24"/>
        <v>0.85000672711100489</v>
      </c>
      <c r="T69" s="190">
        <f t="shared" si="24"/>
        <v>0.89691076113523738</v>
      </c>
      <c r="U69" s="190">
        <f t="shared" si="24"/>
        <v>0.94994095091451336</v>
      </c>
      <c r="V69" s="190">
        <f t="shared" si="24"/>
        <v>0.988409187738719</v>
      </c>
      <c r="W69" s="190">
        <f t="shared" si="24"/>
        <v>1</v>
      </c>
    </row>
    <row r="70" spans="1:24" x14ac:dyDescent="0.25">
      <c r="A70" s="171" t="s">
        <v>42</v>
      </c>
      <c r="B70" s="190">
        <f t="shared" si="22"/>
        <v>0.14462518882633807</v>
      </c>
      <c r="C70" s="190">
        <f t="shared" ref="C70:W70" si="25">C64+B70</f>
        <v>0.22849079790360263</v>
      </c>
      <c r="D70" s="190">
        <f t="shared" si="25"/>
        <v>0.25032907998465104</v>
      </c>
      <c r="E70" s="190">
        <f t="shared" si="25"/>
        <v>0.26390028997896803</v>
      </c>
      <c r="F70" s="190">
        <f t="shared" si="25"/>
        <v>0.30894660404027646</v>
      </c>
      <c r="G70" s="190">
        <f t="shared" si="25"/>
        <v>0.33117346765301608</v>
      </c>
      <c r="H70" s="190">
        <f t="shared" si="25"/>
        <v>0.37390772160076158</v>
      </c>
      <c r="I70" s="190">
        <f t="shared" si="25"/>
        <v>0.40816604088849162</v>
      </c>
      <c r="J70" s="190">
        <f t="shared" si="25"/>
        <v>0.45125487548390536</v>
      </c>
      <c r="K70" s="190">
        <f t="shared" si="25"/>
        <v>0.47575979832618498</v>
      </c>
      <c r="L70" s="190">
        <f t="shared" si="25"/>
        <v>0.4914099195150502</v>
      </c>
      <c r="M70" s="190">
        <f t="shared" si="25"/>
        <v>0.54533046430635768</v>
      </c>
      <c r="N70" s="190">
        <f t="shared" si="25"/>
        <v>0.57498409244354642</v>
      </c>
      <c r="O70" s="190">
        <f t="shared" si="25"/>
        <v>0.5949766122490614</v>
      </c>
      <c r="P70" s="190">
        <f t="shared" si="25"/>
        <v>0.61291936447490503</v>
      </c>
      <c r="Q70" s="190">
        <f t="shared" si="25"/>
        <v>0.66135119513107354</v>
      </c>
      <c r="R70" s="190">
        <f t="shared" si="25"/>
        <v>0.67973595884921589</v>
      </c>
      <c r="S70" s="190">
        <f t="shared" si="25"/>
        <v>0.73109186553136107</v>
      </c>
      <c r="T70" s="190">
        <f t="shared" si="25"/>
        <v>0.7888739392938503</v>
      </c>
      <c r="U70" s="190">
        <f t="shared" si="25"/>
        <v>0.84577684734088809</v>
      </c>
      <c r="V70" s="190">
        <f t="shared" si="25"/>
        <v>0.93624834245690391</v>
      </c>
      <c r="W70" s="190">
        <f t="shared" si="25"/>
        <v>1</v>
      </c>
    </row>
    <row r="71" spans="1:24" x14ac:dyDescent="0.25">
      <c r="A71" s="171" t="s">
        <v>208</v>
      </c>
      <c r="B71" s="190">
        <f t="shared" si="22"/>
        <v>0.36460294303325524</v>
      </c>
      <c r="C71" s="190">
        <f t="shared" ref="C71:W71" si="26">C65+B71</f>
        <v>0.45540110386502125</v>
      </c>
      <c r="D71" s="190">
        <f t="shared" si="26"/>
        <v>0.48067377355527019</v>
      </c>
      <c r="E71" s="190">
        <f t="shared" si="26"/>
        <v>0.50886912531684958</v>
      </c>
      <c r="F71" s="190">
        <f t="shared" si="26"/>
        <v>0.53697275671956657</v>
      </c>
      <c r="G71" s="190">
        <f t="shared" si="26"/>
        <v>0.57922690239810237</v>
      </c>
      <c r="H71" s="190">
        <f t="shared" si="26"/>
        <v>0.62693096444307428</v>
      </c>
      <c r="I71" s="190">
        <f t="shared" si="26"/>
        <v>0.65917018047439269</v>
      </c>
      <c r="J71" s="190">
        <f t="shared" si="26"/>
        <v>0.68475073183744362</v>
      </c>
      <c r="K71" s="190">
        <f t="shared" si="26"/>
        <v>0.70829443775536716</v>
      </c>
      <c r="L71" s="190">
        <f t="shared" si="26"/>
        <v>0.72989591256272524</v>
      </c>
      <c r="M71" s="190">
        <f t="shared" si="26"/>
        <v>0.76525436762780119</v>
      </c>
      <c r="N71" s="190">
        <f t="shared" si="26"/>
        <v>0.78341112448926586</v>
      </c>
      <c r="O71" s="190">
        <f t="shared" si="26"/>
        <v>0.80392479117281401</v>
      </c>
      <c r="P71" s="190">
        <f t="shared" si="26"/>
        <v>0.8257294044034641</v>
      </c>
      <c r="Q71" s="190">
        <f t="shared" si="26"/>
        <v>0.85178181383661133</v>
      </c>
      <c r="R71" s="190">
        <f t="shared" si="26"/>
        <v>0.88268942762995306</v>
      </c>
      <c r="S71" s="190">
        <f t="shared" si="26"/>
        <v>0.90714800328512935</v>
      </c>
      <c r="T71" s="190">
        <f t="shared" si="26"/>
        <v>0.93160835266734721</v>
      </c>
      <c r="U71" s="190">
        <f t="shared" si="26"/>
        <v>0.9647892310496522</v>
      </c>
      <c r="V71" s="190">
        <f t="shared" si="26"/>
        <v>0.98948422584866447</v>
      </c>
      <c r="W71" s="190">
        <f t="shared" si="26"/>
        <v>1.0000000000000002</v>
      </c>
    </row>
    <row r="73" spans="1:24" x14ac:dyDescent="0.25">
      <c r="B73" s="191"/>
    </row>
  </sheetData>
  <hyperlinks>
    <hyperlink ref="D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topLeftCell="V22" zoomScaleNormal="100" workbookViewId="0">
      <selection activeCell="AA4" sqref="AA4"/>
    </sheetView>
  </sheetViews>
  <sheetFormatPr baseColWidth="10" defaultRowHeight="15" x14ac:dyDescent="0.25"/>
  <cols>
    <col min="1" max="1" width="25" customWidth="1"/>
    <col min="24" max="24" width="17.140625" customWidth="1"/>
    <col min="25" max="25" width="14.85546875" customWidth="1"/>
    <col min="26" max="26" width="17.85546875" customWidth="1"/>
  </cols>
  <sheetData>
    <row r="1" spans="1:27" x14ac:dyDescent="0.25">
      <c r="D1" s="30" t="s">
        <v>51</v>
      </c>
      <c r="E1" s="182" t="s">
        <v>52</v>
      </c>
      <c r="F1" s="30" t="s">
        <v>156</v>
      </c>
      <c r="G1" t="s">
        <v>189</v>
      </c>
    </row>
    <row r="2" spans="1:27" ht="18.75" x14ac:dyDescent="0.3">
      <c r="A2" s="211" t="s">
        <v>38</v>
      </c>
      <c r="B2" s="211"/>
      <c r="C2" s="211"/>
      <c r="D2" s="211"/>
      <c r="E2" s="211"/>
      <c r="F2" s="211"/>
      <c r="G2" s="211"/>
      <c r="H2" s="211"/>
      <c r="K2" s="30"/>
      <c r="L2" s="31"/>
    </row>
    <row r="3" spans="1:27" ht="36" customHeight="1" x14ac:dyDescent="0.25">
      <c r="A3" s="32" t="s">
        <v>0</v>
      </c>
      <c r="B3" s="38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7" x14ac:dyDescent="0.25">
      <c r="A4" s="14" t="s">
        <v>4</v>
      </c>
      <c r="B4" s="40">
        <v>3157.3800000000006</v>
      </c>
      <c r="C4" s="40">
        <v>771.63</v>
      </c>
      <c r="D4" s="40">
        <v>469.26</v>
      </c>
      <c r="E4" s="40">
        <v>661.79000000000019</v>
      </c>
      <c r="F4" s="40">
        <v>414.08</v>
      </c>
      <c r="G4" s="40">
        <v>923.12000000000012</v>
      </c>
      <c r="H4" s="40">
        <v>526.08999999999992</v>
      </c>
      <c r="I4" s="40">
        <v>376.4</v>
      </c>
      <c r="J4" s="40">
        <v>395.06</v>
      </c>
      <c r="K4" s="40">
        <v>494.49</v>
      </c>
      <c r="L4" s="40">
        <v>277.34000000000003</v>
      </c>
      <c r="M4" s="40">
        <v>660.36999999999978</v>
      </c>
      <c r="N4" s="40">
        <v>316.69</v>
      </c>
      <c r="O4" s="40">
        <v>487.70999999999992</v>
      </c>
      <c r="P4" s="40">
        <v>388.71</v>
      </c>
      <c r="Q4" s="40">
        <v>584.37</v>
      </c>
      <c r="R4" s="40">
        <v>1125.92</v>
      </c>
      <c r="S4" s="40">
        <v>661.01</v>
      </c>
      <c r="T4" s="40">
        <v>462.03999999999996</v>
      </c>
      <c r="U4" s="40">
        <v>377.42999999999995</v>
      </c>
      <c r="V4" s="40">
        <v>379.70000000000005</v>
      </c>
      <c r="W4" s="40">
        <v>156.6</v>
      </c>
      <c r="X4" s="40">
        <v>9.18</v>
      </c>
      <c r="Y4" s="40">
        <v>14076.369999999999</v>
      </c>
      <c r="Z4" s="66">
        <f>Y4/$Y$33</f>
        <v>0.17820474954573293</v>
      </c>
      <c r="AA4" s="131">
        <f>SUM(C4:X4)</f>
        <v>10918.99</v>
      </c>
    </row>
    <row r="5" spans="1:27" x14ac:dyDescent="0.25">
      <c r="A5" s="6" t="s">
        <v>5</v>
      </c>
      <c r="B5" s="10">
        <v>430.38999999999993</v>
      </c>
      <c r="C5" s="10">
        <v>152.64999999999998</v>
      </c>
      <c r="D5" s="10">
        <v>109.66</v>
      </c>
      <c r="E5" s="10">
        <v>55.08</v>
      </c>
      <c r="F5" s="10">
        <v>16.07</v>
      </c>
      <c r="G5" s="10">
        <v>153.99</v>
      </c>
      <c r="H5" s="10">
        <v>92.649999999999991</v>
      </c>
      <c r="I5" s="10"/>
      <c r="J5" s="10">
        <v>32.04</v>
      </c>
      <c r="K5" s="10">
        <v>14.33</v>
      </c>
      <c r="L5" s="10">
        <v>21.72</v>
      </c>
      <c r="M5" s="10">
        <v>196.82</v>
      </c>
      <c r="N5" s="10">
        <v>69.649999999999991</v>
      </c>
      <c r="O5" s="10">
        <v>61.320000000000007</v>
      </c>
      <c r="P5" s="10">
        <v>72.17</v>
      </c>
      <c r="Q5" s="10">
        <v>81.289999999999992</v>
      </c>
      <c r="R5" s="10">
        <v>67.02</v>
      </c>
      <c r="S5" s="10">
        <v>126.23</v>
      </c>
      <c r="T5" s="10">
        <v>16.16</v>
      </c>
      <c r="U5" s="10">
        <v>53.42</v>
      </c>
      <c r="V5" s="10">
        <v>4.9700000000000006</v>
      </c>
      <c r="W5" s="10">
        <v>0.18</v>
      </c>
      <c r="X5" s="10">
        <v>8.6</v>
      </c>
      <c r="Y5" s="10">
        <v>1836.4099999999999</v>
      </c>
      <c r="Z5" s="19">
        <f t="shared" ref="Z5:Z33" si="0">Y5/$Y$33</f>
        <v>2.3248677330396927E-2</v>
      </c>
    </row>
    <row r="6" spans="1:27" x14ac:dyDescent="0.25">
      <c r="A6" s="6" t="s">
        <v>6</v>
      </c>
      <c r="B6" s="10">
        <v>49.86</v>
      </c>
      <c r="C6" s="10">
        <v>7.0299999999999994</v>
      </c>
      <c r="D6" s="10">
        <v>4.1500000000000004</v>
      </c>
      <c r="E6" s="10">
        <v>13.149999999999999</v>
      </c>
      <c r="F6" s="10">
        <v>55.79</v>
      </c>
      <c r="G6" s="10">
        <v>9.91</v>
      </c>
      <c r="H6" s="10">
        <v>23.16</v>
      </c>
      <c r="I6" s="10"/>
      <c r="J6" s="10">
        <v>0.79</v>
      </c>
      <c r="K6" s="10">
        <v>16.990000000000002</v>
      </c>
      <c r="L6" s="10">
        <v>0.84</v>
      </c>
      <c r="M6" s="10">
        <v>5.1700000000000008</v>
      </c>
      <c r="N6" s="10"/>
      <c r="O6" s="10">
        <v>10.760000000000002</v>
      </c>
      <c r="P6" s="10">
        <v>3.26</v>
      </c>
      <c r="Q6" s="10">
        <v>6.9</v>
      </c>
      <c r="R6" s="10">
        <v>4.12</v>
      </c>
      <c r="S6" s="10">
        <v>0.09</v>
      </c>
      <c r="T6" s="10">
        <v>2.79</v>
      </c>
      <c r="U6" s="10"/>
      <c r="V6" s="10"/>
      <c r="W6" s="10"/>
      <c r="X6" s="10"/>
      <c r="Y6" s="10">
        <v>214.75999999999996</v>
      </c>
      <c r="Z6" s="19">
        <f t="shared" si="0"/>
        <v>2.7188296423326184E-3</v>
      </c>
    </row>
    <row r="7" spans="1:27" x14ac:dyDescent="0.25">
      <c r="A7" s="6" t="s">
        <v>7</v>
      </c>
      <c r="B7" s="10">
        <v>12.22</v>
      </c>
      <c r="C7" s="10">
        <v>0.94</v>
      </c>
      <c r="D7" s="10">
        <v>6.75</v>
      </c>
      <c r="E7" s="10">
        <v>20.74</v>
      </c>
      <c r="F7" s="10">
        <v>22.19</v>
      </c>
      <c r="G7" s="10">
        <v>8.24</v>
      </c>
      <c r="H7" s="10">
        <v>3.94</v>
      </c>
      <c r="I7" s="10">
        <v>23.86</v>
      </c>
      <c r="J7" s="10">
        <v>33.68</v>
      </c>
      <c r="K7" s="10"/>
      <c r="L7" s="10"/>
      <c r="M7" s="10">
        <v>4.29</v>
      </c>
      <c r="N7" s="10">
        <v>3.58</v>
      </c>
      <c r="O7" s="10">
        <v>1.22</v>
      </c>
      <c r="P7" s="10"/>
      <c r="Q7" s="10">
        <v>0.05</v>
      </c>
      <c r="R7" s="10">
        <v>19.46</v>
      </c>
      <c r="S7" s="10"/>
      <c r="T7" s="10"/>
      <c r="U7" s="10">
        <v>20.62</v>
      </c>
      <c r="V7" s="10">
        <v>5.64</v>
      </c>
      <c r="W7" s="10"/>
      <c r="X7" s="10"/>
      <c r="Y7" s="10">
        <v>187.42000000000002</v>
      </c>
      <c r="Z7" s="19">
        <f t="shared" si="0"/>
        <v>2.3727093107002209E-3</v>
      </c>
    </row>
    <row r="8" spans="1:27" x14ac:dyDescent="0.25">
      <c r="A8" s="6" t="s">
        <v>8</v>
      </c>
      <c r="B8" s="10">
        <v>4.5399999999999991</v>
      </c>
      <c r="C8" s="10">
        <v>1.6300000000000001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0.05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6.22</v>
      </c>
      <c r="Z8" s="19">
        <f t="shared" si="0"/>
        <v>7.8744274424049582E-5</v>
      </c>
    </row>
    <row r="9" spans="1:27" x14ac:dyDescent="0.25">
      <c r="A9" s="6" t="s">
        <v>9</v>
      </c>
      <c r="B9" s="10">
        <v>2150.0800000000004</v>
      </c>
      <c r="C9" s="10">
        <v>393.5</v>
      </c>
      <c r="D9" s="10">
        <v>338.49</v>
      </c>
      <c r="E9" s="10">
        <v>508.37000000000012</v>
      </c>
      <c r="F9" s="10">
        <v>187.81</v>
      </c>
      <c r="G9" s="10">
        <v>441.23</v>
      </c>
      <c r="H9" s="10">
        <v>274.37</v>
      </c>
      <c r="I9" s="10">
        <v>115.49000000000001</v>
      </c>
      <c r="J9" s="10">
        <v>184.25</v>
      </c>
      <c r="K9" s="10">
        <v>340.75</v>
      </c>
      <c r="L9" s="10">
        <v>190.83</v>
      </c>
      <c r="M9" s="10">
        <v>399.63999999999993</v>
      </c>
      <c r="N9" s="10">
        <v>186.75</v>
      </c>
      <c r="O9" s="10">
        <v>343.20999999999992</v>
      </c>
      <c r="P9" s="10">
        <v>274.77999999999997</v>
      </c>
      <c r="Q9" s="10">
        <v>351.54</v>
      </c>
      <c r="R9" s="10">
        <v>610.13</v>
      </c>
      <c r="S9" s="10">
        <v>326.48999999999995</v>
      </c>
      <c r="T9" s="10">
        <v>141.78</v>
      </c>
      <c r="U9" s="10">
        <v>114.42</v>
      </c>
      <c r="V9" s="10">
        <v>229.33</v>
      </c>
      <c r="W9" s="10">
        <v>26.42</v>
      </c>
      <c r="X9" s="10">
        <v>0.53</v>
      </c>
      <c r="Y9" s="10">
        <v>8130.19</v>
      </c>
      <c r="Z9" s="19">
        <f t="shared" si="0"/>
        <v>0.10292699557550862</v>
      </c>
    </row>
    <row r="10" spans="1:27" x14ac:dyDescent="0.25">
      <c r="A10" s="6" t="s">
        <v>11</v>
      </c>
      <c r="B10" s="10">
        <v>294.05</v>
      </c>
      <c r="C10" s="10">
        <v>39.480000000000004</v>
      </c>
      <c r="D10" s="10">
        <v>1.5</v>
      </c>
      <c r="E10" s="10">
        <v>5.09</v>
      </c>
      <c r="F10" s="10">
        <v>8.7799999999999994</v>
      </c>
      <c r="G10" s="10">
        <v>10.59</v>
      </c>
      <c r="H10" s="10">
        <v>14.34</v>
      </c>
      <c r="I10" s="10">
        <v>3.3200000000000003</v>
      </c>
      <c r="J10" s="10">
        <v>3.78</v>
      </c>
      <c r="K10" s="10">
        <v>19.25</v>
      </c>
      <c r="L10" s="10">
        <v>8.4599999999999991</v>
      </c>
      <c r="M10" s="10">
        <v>13.3</v>
      </c>
      <c r="N10" s="10">
        <v>2.11</v>
      </c>
      <c r="O10" s="10">
        <v>8.2199999999999989</v>
      </c>
      <c r="P10" s="10">
        <v>5.77</v>
      </c>
      <c r="Q10" s="10">
        <v>22.509999999999998</v>
      </c>
      <c r="R10" s="10">
        <v>1.56</v>
      </c>
      <c r="S10" s="10">
        <v>11.66</v>
      </c>
      <c r="T10" s="10">
        <v>7.01</v>
      </c>
      <c r="U10" s="10">
        <v>16.809999999999999</v>
      </c>
      <c r="V10" s="10">
        <v>5.2200000000000006</v>
      </c>
      <c r="W10" s="10">
        <v>15.93</v>
      </c>
      <c r="X10" s="10"/>
      <c r="Y10" s="10">
        <v>518.7399999999999</v>
      </c>
      <c r="Z10" s="19">
        <f t="shared" si="0"/>
        <v>6.5671712081561851E-3</v>
      </c>
    </row>
    <row r="11" spans="1:27" x14ac:dyDescent="0.25">
      <c r="A11" s="6" t="s">
        <v>12</v>
      </c>
      <c r="B11" s="10">
        <v>216.24000000000004</v>
      </c>
      <c r="C11" s="10">
        <v>176.4</v>
      </c>
      <c r="D11" s="10">
        <v>8.7100000000000009</v>
      </c>
      <c r="E11" s="10">
        <v>59.36</v>
      </c>
      <c r="F11" s="10">
        <v>123.43999999999998</v>
      </c>
      <c r="G11" s="10">
        <v>299.16000000000003</v>
      </c>
      <c r="H11" s="10">
        <v>117.62999999999998</v>
      </c>
      <c r="I11" s="10">
        <v>233.73</v>
      </c>
      <c r="J11" s="10">
        <v>140.52000000000001</v>
      </c>
      <c r="K11" s="10">
        <v>103.16999999999999</v>
      </c>
      <c r="L11" s="10">
        <v>55.490000000000009</v>
      </c>
      <c r="M11" s="10">
        <v>41.15</v>
      </c>
      <c r="N11" s="10">
        <v>54.55</v>
      </c>
      <c r="O11" s="10">
        <v>62.98</v>
      </c>
      <c r="P11" s="10">
        <v>32.730000000000004</v>
      </c>
      <c r="Q11" s="10">
        <v>122.08000000000001</v>
      </c>
      <c r="R11" s="10">
        <v>423.63</v>
      </c>
      <c r="S11" s="10">
        <v>196.54</v>
      </c>
      <c r="T11" s="10">
        <v>294.3</v>
      </c>
      <c r="U11" s="10">
        <v>172.15999999999997</v>
      </c>
      <c r="V11" s="10">
        <v>134.54000000000002</v>
      </c>
      <c r="W11" s="10">
        <v>114.07</v>
      </c>
      <c r="X11" s="10">
        <v>0.05</v>
      </c>
      <c r="Y11" s="10">
        <v>3182.6299999999992</v>
      </c>
      <c r="Z11" s="19">
        <f t="shared" si="0"/>
        <v>4.0291622204214284E-2</v>
      </c>
    </row>
    <row r="12" spans="1:27" x14ac:dyDescent="0.25">
      <c r="A12" s="14" t="s">
        <v>14</v>
      </c>
      <c r="B12" s="40">
        <f>SUM(B13:B15)</f>
        <v>22435.159999999993</v>
      </c>
      <c r="C12" s="40">
        <f t="shared" ref="C12:Y12" si="1">SUM(C13:C15)</f>
        <v>6085.0299999999988</v>
      </c>
      <c r="D12" s="40">
        <f t="shared" si="1"/>
        <v>1465.96</v>
      </c>
      <c r="E12" s="40">
        <f t="shared" si="1"/>
        <v>1596.6300000000003</v>
      </c>
      <c r="F12" s="40">
        <f t="shared" si="1"/>
        <v>1495.1399999999999</v>
      </c>
      <c r="G12" s="40">
        <f t="shared" si="1"/>
        <v>2362.66</v>
      </c>
      <c r="H12" s="40">
        <f t="shared" si="1"/>
        <v>2022.9600000000003</v>
      </c>
      <c r="I12" s="40">
        <f t="shared" si="1"/>
        <v>724.66</v>
      </c>
      <c r="J12" s="40">
        <f t="shared" si="1"/>
        <v>986.18000000000006</v>
      </c>
      <c r="K12" s="40">
        <f t="shared" si="1"/>
        <v>811.38</v>
      </c>
      <c r="L12" s="40">
        <f t="shared" si="1"/>
        <v>974.72</v>
      </c>
      <c r="M12" s="40">
        <f t="shared" si="1"/>
        <v>1520.87</v>
      </c>
      <c r="N12" s="40">
        <f t="shared" si="1"/>
        <v>803.83999999999992</v>
      </c>
      <c r="O12" s="40">
        <f t="shared" si="1"/>
        <v>1203.5400000000002</v>
      </c>
      <c r="P12" s="40">
        <f t="shared" si="1"/>
        <v>1174.53</v>
      </c>
      <c r="Q12" s="40">
        <f t="shared" si="1"/>
        <v>1426.3000000000002</v>
      </c>
      <c r="R12" s="40">
        <f t="shared" si="1"/>
        <v>1755.7000000000003</v>
      </c>
      <c r="S12" s="40">
        <f t="shared" si="1"/>
        <v>1066.1399999999999</v>
      </c>
      <c r="T12" s="40">
        <f t="shared" si="1"/>
        <v>986.10000000000014</v>
      </c>
      <c r="U12" s="40">
        <f t="shared" si="1"/>
        <v>933.09999999999991</v>
      </c>
      <c r="V12" s="40">
        <f t="shared" si="1"/>
        <v>580.69000000000005</v>
      </c>
      <c r="W12" s="40">
        <f t="shared" si="1"/>
        <v>317.80000000000007</v>
      </c>
      <c r="X12" s="40">
        <f t="shared" si="1"/>
        <v>174.45</v>
      </c>
      <c r="Y12" s="40">
        <f t="shared" si="1"/>
        <v>52903.540000000008</v>
      </c>
      <c r="Z12" s="66">
        <f t="shared" si="0"/>
        <v>0.66975094401345414</v>
      </c>
      <c r="AA12" s="131">
        <f>SUM(C12:X12)</f>
        <v>30468.379999999994</v>
      </c>
    </row>
    <row r="13" spans="1:27" x14ac:dyDescent="0.25">
      <c r="A13" s="6" t="s">
        <v>15</v>
      </c>
      <c r="B13" s="10">
        <v>1332.3099999999995</v>
      </c>
      <c r="C13" s="10">
        <v>325.65999999999991</v>
      </c>
      <c r="D13" s="10">
        <v>40.25</v>
      </c>
      <c r="E13" s="10">
        <v>88.829999999999984</v>
      </c>
      <c r="F13" s="10">
        <v>68.84</v>
      </c>
      <c r="G13" s="10">
        <v>332.34999999999997</v>
      </c>
      <c r="H13" s="10">
        <v>322.58</v>
      </c>
      <c r="I13" s="10">
        <v>117.38</v>
      </c>
      <c r="J13" s="10">
        <v>43.08</v>
      </c>
      <c r="K13" s="10">
        <v>133.04999999999998</v>
      </c>
      <c r="L13" s="10">
        <v>102.47</v>
      </c>
      <c r="M13" s="10">
        <v>532.29</v>
      </c>
      <c r="N13" s="10">
        <v>140.16999999999999</v>
      </c>
      <c r="O13" s="10">
        <v>327.26000000000005</v>
      </c>
      <c r="P13" s="10">
        <v>263.17</v>
      </c>
      <c r="Q13" s="10">
        <v>220.73</v>
      </c>
      <c r="R13" s="10">
        <v>390.08</v>
      </c>
      <c r="S13" s="10">
        <v>243.87</v>
      </c>
      <c r="T13" s="10">
        <v>150.50000000000003</v>
      </c>
      <c r="U13" s="10">
        <v>118.5</v>
      </c>
      <c r="V13" s="10">
        <v>91.33</v>
      </c>
      <c r="W13" s="10">
        <v>9.4899999999999984</v>
      </c>
      <c r="X13" s="10">
        <v>7.049999999999998</v>
      </c>
      <c r="Y13" s="10">
        <v>5401.24</v>
      </c>
      <c r="Z13" s="19">
        <f t="shared" si="0"/>
        <v>6.8378894660796385E-2</v>
      </c>
    </row>
    <row r="14" spans="1:27" x14ac:dyDescent="0.25">
      <c r="A14" s="6" t="s">
        <v>16</v>
      </c>
      <c r="B14" s="10">
        <v>9804.5099999999929</v>
      </c>
      <c r="C14" s="10">
        <v>3023.6699999999992</v>
      </c>
      <c r="D14" s="10">
        <v>684.99000000000024</v>
      </c>
      <c r="E14" s="10">
        <v>682.58</v>
      </c>
      <c r="F14" s="10">
        <v>544.91</v>
      </c>
      <c r="G14" s="10">
        <v>858.43000000000018</v>
      </c>
      <c r="H14" s="10">
        <v>682.33000000000027</v>
      </c>
      <c r="I14" s="10">
        <v>168.7</v>
      </c>
      <c r="J14" s="10">
        <v>411.48</v>
      </c>
      <c r="K14" s="10">
        <v>193.45999999999995</v>
      </c>
      <c r="L14" s="10">
        <v>306.32000000000005</v>
      </c>
      <c r="M14" s="10">
        <v>308.45</v>
      </c>
      <c r="N14" s="10">
        <v>125.24000000000001</v>
      </c>
      <c r="O14" s="10">
        <v>188.13</v>
      </c>
      <c r="P14" s="10">
        <v>197.60999999999993</v>
      </c>
      <c r="Q14" s="10">
        <v>282.34000000000003</v>
      </c>
      <c r="R14" s="10">
        <v>398.44000000000011</v>
      </c>
      <c r="S14" s="10">
        <v>201.59000000000003</v>
      </c>
      <c r="T14" s="10">
        <v>307.83</v>
      </c>
      <c r="U14" s="10">
        <v>286.15999999999991</v>
      </c>
      <c r="V14" s="10">
        <v>145.95999999999995</v>
      </c>
      <c r="W14" s="10">
        <v>108.68</v>
      </c>
      <c r="X14" s="10">
        <v>62.399999999999991</v>
      </c>
      <c r="Y14" s="10">
        <v>19974.209999999995</v>
      </c>
      <c r="Z14" s="19">
        <f t="shared" si="0"/>
        <v>0.25287052630925966</v>
      </c>
    </row>
    <row r="15" spans="1:27" x14ac:dyDescent="0.25">
      <c r="A15" s="6" t="s">
        <v>17</v>
      </c>
      <c r="B15" s="10">
        <v>11298.34</v>
      </c>
      <c r="C15" s="10">
        <v>2735.7000000000003</v>
      </c>
      <c r="D15" s="10">
        <v>740.71999999999991</v>
      </c>
      <c r="E15" s="10">
        <v>825.22000000000025</v>
      </c>
      <c r="F15" s="10">
        <v>881.39</v>
      </c>
      <c r="G15" s="10">
        <v>1171.8799999999999</v>
      </c>
      <c r="H15" s="10">
        <v>1018.05</v>
      </c>
      <c r="I15" s="10">
        <v>438.58</v>
      </c>
      <c r="J15" s="10">
        <v>531.62000000000012</v>
      </c>
      <c r="K15" s="10">
        <v>484.87000000000006</v>
      </c>
      <c r="L15" s="10">
        <v>565.92999999999995</v>
      </c>
      <c r="M15" s="10">
        <v>680.13</v>
      </c>
      <c r="N15" s="10">
        <v>538.42999999999995</v>
      </c>
      <c r="O15" s="10">
        <v>688.15000000000009</v>
      </c>
      <c r="P15" s="10">
        <v>713.75</v>
      </c>
      <c r="Q15" s="10">
        <v>923.23000000000013</v>
      </c>
      <c r="R15" s="10">
        <v>967.18000000000006</v>
      </c>
      <c r="S15" s="10">
        <v>620.67999999999995</v>
      </c>
      <c r="T15" s="10">
        <v>527.7700000000001</v>
      </c>
      <c r="U15" s="10">
        <v>528.44000000000005</v>
      </c>
      <c r="V15" s="10">
        <v>343.40000000000009</v>
      </c>
      <c r="W15" s="10">
        <v>199.63000000000005</v>
      </c>
      <c r="X15" s="10">
        <v>105</v>
      </c>
      <c r="Y15" s="10">
        <v>27528.090000000007</v>
      </c>
      <c r="Z15" s="19">
        <f t="shared" si="0"/>
        <v>0.34850152304339804</v>
      </c>
    </row>
    <row r="16" spans="1:27" x14ac:dyDescent="0.25">
      <c r="A16" s="14" t="s">
        <v>39</v>
      </c>
      <c r="B16" s="40">
        <v>0.16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v>0.16</v>
      </c>
      <c r="Z16" s="66">
        <f t="shared" si="0"/>
        <v>2.0255761909723366E-6</v>
      </c>
    </row>
    <row r="17" spans="1:27" x14ac:dyDescent="0.25">
      <c r="A17" s="6" t="s">
        <v>40</v>
      </c>
      <c r="B17" s="10">
        <v>0.16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>
        <v>0.16</v>
      </c>
      <c r="Z17" s="19">
        <f t="shared" si="0"/>
        <v>2.0255761909723366E-6</v>
      </c>
    </row>
    <row r="18" spans="1:27" x14ac:dyDescent="0.25">
      <c r="A18" s="14" t="s">
        <v>18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>
        <v>0.08</v>
      </c>
      <c r="Y18" s="40">
        <v>0.08</v>
      </c>
      <c r="Z18" s="66">
        <f t="shared" si="0"/>
        <v>1.0127880954861683E-6</v>
      </c>
    </row>
    <row r="19" spans="1:27" x14ac:dyDescent="0.25">
      <c r="A19" s="6" t="s">
        <v>18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0.08</v>
      </c>
      <c r="Y19" s="10">
        <v>0.08</v>
      </c>
      <c r="Z19" s="19">
        <f t="shared" si="0"/>
        <v>1.0127880954861683E-6</v>
      </c>
    </row>
    <row r="20" spans="1:27" x14ac:dyDescent="0.25">
      <c r="A20" s="14" t="s">
        <v>19</v>
      </c>
      <c r="B20" s="40">
        <f>SUM(B21:B22)</f>
        <v>2370.3799999999983</v>
      </c>
      <c r="C20" s="40">
        <f t="shared" ref="C20:Y20" si="2">SUM(C21:C22)</f>
        <v>918.33000000000015</v>
      </c>
      <c r="D20" s="40">
        <f t="shared" si="2"/>
        <v>319.94</v>
      </c>
      <c r="E20" s="40">
        <f t="shared" si="2"/>
        <v>432.22999999999996</v>
      </c>
      <c r="F20" s="40">
        <f t="shared" si="2"/>
        <v>350.34999999999997</v>
      </c>
      <c r="G20" s="40">
        <f t="shared" si="2"/>
        <v>283.53000000000003</v>
      </c>
      <c r="H20" s="40">
        <f t="shared" si="2"/>
        <v>269.48</v>
      </c>
      <c r="I20" s="40">
        <f t="shared" si="2"/>
        <v>98.670000000000016</v>
      </c>
      <c r="J20" s="40">
        <f t="shared" si="2"/>
        <v>47.460000000000015</v>
      </c>
      <c r="K20" s="40">
        <f t="shared" si="2"/>
        <v>58.489999999999995</v>
      </c>
      <c r="L20" s="40">
        <f t="shared" si="2"/>
        <v>45.84</v>
      </c>
      <c r="M20" s="40">
        <f t="shared" si="2"/>
        <v>150.49999999999997</v>
      </c>
      <c r="N20" s="40">
        <f t="shared" si="2"/>
        <v>38.11</v>
      </c>
      <c r="O20" s="40">
        <f t="shared" si="2"/>
        <v>40.110000000000007</v>
      </c>
      <c r="P20" s="40">
        <f t="shared" si="2"/>
        <v>54.11999999999999</v>
      </c>
      <c r="Q20" s="40">
        <f t="shared" si="2"/>
        <v>79.469999999999985</v>
      </c>
      <c r="R20" s="40">
        <f t="shared" si="2"/>
        <v>65.88000000000001</v>
      </c>
      <c r="S20" s="40">
        <f t="shared" si="2"/>
        <v>165.19</v>
      </c>
      <c r="T20" s="40">
        <f t="shared" si="2"/>
        <v>65.44</v>
      </c>
      <c r="U20" s="40">
        <f t="shared" si="2"/>
        <v>47.45</v>
      </c>
      <c r="V20" s="40">
        <f t="shared" si="2"/>
        <v>54.29999999999999</v>
      </c>
      <c r="W20" s="40">
        <f t="shared" si="2"/>
        <v>26.520000000000003</v>
      </c>
      <c r="X20" s="40">
        <f t="shared" si="2"/>
        <v>0.16</v>
      </c>
      <c r="Y20" s="40">
        <f t="shared" si="2"/>
        <v>5981.9499999999971</v>
      </c>
      <c r="Z20" s="66">
        <f t="shared" si="0"/>
        <v>7.5730596847418521E-2</v>
      </c>
      <c r="AA20" s="131">
        <f>SUM(C20:X20)</f>
        <v>3611.57</v>
      </c>
    </row>
    <row r="21" spans="1:27" x14ac:dyDescent="0.25">
      <c r="A21" s="6" t="s">
        <v>20</v>
      </c>
      <c r="B21" s="10"/>
      <c r="C21" s="10"/>
      <c r="D21" s="10"/>
      <c r="E21" s="10">
        <v>1.1399999999999999</v>
      </c>
      <c r="F21" s="10"/>
      <c r="G21" s="10">
        <v>0.04</v>
      </c>
      <c r="H21" s="10"/>
      <c r="I21" s="10"/>
      <c r="J21" s="10"/>
      <c r="K21" s="10"/>
      <c r="L21" s="10"/>
      <c r="M21" s="10"/>
      <c r="N21" s="10">
        <v>0.01</v>
      </c>
      <c r="O21" s="10">
        <v>0.34</v>
      </c>
      <c r="P21" s="10"/>
      <c r="Q21" s="10">
        <v>7.0000000000000007E-2</v>
      </c>
      <c r="R21" s="10">
        <v>0.01</v>
      </c>
      <c r="S21" s="10"/>
      <c r="T21" s="10"/>
      <c r="U21" s="10"/>
      <c r="V21" s="10"/>
      <c r="W21" s="10"/>
      <c r="X21" s="10"/>
      <c r="Y21" s="10">
        <v>1.61</v>
      </c>
      <c r="Z21" s="19">
        <f t="shared" si="0"/>
        <v>2.0382360421659138E-5</v>
      </c>
    </row>
    <row r="22" spans="1:27" x14ac:dyDescent="0.25">
      <c r="A22" s="6" t="s">
        <v>22</v>
      </c>
      <c r="B22" s="10">
        <v>2370.3799999999983</v>
      </c>
      <c r="C22" s="10">
        <v>918.33000000000015</v>
      </c>
      <c r="D22" s="10">
        <v>319.94</v>
      </c>
      <c r="E22" s="10">
        <v>431.09</v>
      </c>
      <c r="F22" s="10">
        <v>350.34999999999997</v>
      </c>
      <c r="G22" s="10">
        <v>283.49</v>
      </c>
      <c r="H22" s="10">
        <v>269.48</v>
      </c>
      <c r="I22" s="10">
        <v>98.670000000000016</v>
      </c>
      <c r="J22" s="10">
        <v>47.460000000000015</v>
      </c>
      <c r="K22" s="10">
        <v>58.489999999999995</v>
      </c>
      <c r="L22" s="10">
        <v>45.84</v>
      </c>
      <c r="M22" s="10">
        <v>150.49999999999997</v>
      </c>
      <c r="N22" s="10">
        <v>38.1</v>
      </c>
      <c r="O22" s="10">
        <v>39.770000000000003</v>
      </c>
      <c r="P22" s="10">
        <v>54.11999999999999</v>
      </c>
      <c r="Q22" s="10">
        <v>79.399999999999991</v>
      </c>
      <c r="R22" s="10">
        <v>65.87</v>
      </c>
      <c r="S22" s="10">
        <v>165.19</v>
      </c>
      <c r="T22" s="10">
        <v>65.44</v>
      </c>
      <c r="U22" s="10">
        <v>47.45</v>
      </c>
      <c r="V22" s="10">
        <v>54.29999999999999</v>
      </c>
      <c r="W22" s="10">
        <v>26.520000000000003</v>
      </c>
      <c r="X22" s="10">
        <v>0.16</v>
      </c>
      <c r="Y22" s="10">
        <v>5980.3399999999974</v>
      </c>
      <c r="Z22" s="19">
        <f t="shared" si="0"/>
        <v>7.5710214486996857E-2</v>
      </c>
    </row>
    <row r="23" spans="1:27" x14ac:dyDescent="0.25">
      <c r="A23" s="14" t="s">
        <v>23</v>
      </c>
      <c r="B23" s="40">
        <v>0.70000000000000007</v>
      </c>
      <c r="C23" s="40">
        <v>0.14000000000000001</v>
      </c>
      <c r="D23" s="40"/>
      <c r="E23" s="40">
        <v>6.1</v>
      </c>
      <c r="F23" s="40"/>
      <c r="G23" s="40">
        <v>0.24</v>
      </c>
      <c r="H23" s="40"/>
      <c r="I23" s="40">
        <v>7.0000000000000007E-2</v>
      </c>
      <c r="J23" s="40"/>
      <c r="K23" s="40">
        <v>0.12</v>
      </c>
      <c r="L23" s="40"/>
      <c r="M23" s="40">
        <v>6.9999999999999993E-2</v>
      </c>
      <c r="N23" s="40"/>
      <c r="O23" s="40"/>
      <c r="P23" s="40"/>
      <c r="Q23" s="40">
        <v>7.0000000000000007E-2</v>
      </c>
      <c r="R23" s="40"/>
      <c r="S23" s="40"/>
      <c r="T23" s="40"/>
      <c r="U23" s="40">
        <v>0.1</v>
      </c>
      <c r="V23" s="40"/>
      <c r="W23" s="40"/>
      <c r="X23" s="40"/>
      <c r="Y23" s="40">
        <v>7.61</v>
      </c>
      <c r="Z23" s="66">
        <f t="shared" si="0"/>
        <v>9.6341467583121762E-5</v>
      </c>
    </row>
    <row r="24" spans="1:27" x14ac:dyDescent="0.25">
      <c r="A24" s="6" t="s">
        <v>24</v>
      </c>
      <c r="B24" s="10">
        <v>0.56000000000000005</v>
      </c>
      <c r="C24" s="10"/>
      <c r="D24" s="10"/>
      <c r="E24" s="10">
        <v>6.1</v>
      </c>
      <c r="F24" s="10"/>
      <c r="G24" s="10">
        <v>0.24</v>
      </c>
      <c r="H24" s="10"/>
      <c r="I24" s="10"/>
      <c r="J24" s="10"/>
      <c r="K24" s="10"/>
      <c r="L24" s="10"/>
      <c r="M24" s="10">
        <v>0.06</v>
      </c>
      <c r="N24" s="10"/>
      <c r="O24" s="10"/>
      <c r="P24" s="10"/>
      <c r="Q24" s="10">
        <v>7.0000000000000007E-2</v>
      </c>
      <c r="R24" s="10"/>
      <c r="S24" s="10"/>
      <c r="T24" s="10"/>
      <c r="U24" s="10"/>
      <c r="V24" s="10"/>
      <c r="W24" s="10"/>
      <c r="X24" s="10"/>
      <c r="Y24" s="10">
        <v>7.03</v>
      </c>
      <c r="Z24" s="19">
        <f t="shared" si="0"/>
        <v>8.8998753890847038E-5</v>
      </c>
    </row>
    <row r="25" spans="1:27" x14ac:dyDescent="0.25">
      <c r="A25" s="6" t="s">
        <v>25</v>
      </c>
      <c r="B25" s="10">
        <v>0.14000000000000001</v>
      </c>
      <c r="C25" s="10">
        <v>0.14000000000000001</v>
      </c>
      <c r="D25" s="10"/>
      <c r="E25" s="10"/>
      <c r="F25" s="10"/>
      <c r="G25" s="10"/>
      <c r="H25" s="10"/>
      <c r="I25" s="10">
        <v>7.0000000000000007E-2</v>
      </c>
      <c r="J25" s="10"/>
      <c r="K25" s="10">
        <v>0.12</v>
      </c>
      <c r="L25" s="10"/>
      <c r="M25" s="10">
        <v>0.01</v>
      </c>
      <c r="N25" s="10"/>
      <c r="O25" s="10"/>
      <c r="P25" s="10"/>
      <c r="Q25" s="10"/>
      <c r="R25" s="10"/>
      <c r="S25" s="10"/>
      <c r="T25" s="10"/>
      <c r="U25" s="10">
        <v>0.1</v>
      </c>
      <c r="V25" s="10"/>
      <c r="W25" s="10"/>
      <c r="X25" s="10"/>
      <c r="Y25" s="10">
        <v>0.58000000000000007</v>
      </c>
      <c r="Z25" s="19">
        <f t="shared" si="0"/>
        <v>7.3427136922747209E-6</v>
      </c>
    </row>
    <row r="26" spans="1:27" x14ac:dyDescent="0.25">
      <c r="A26" s="14" t="s">
        <v>28</v>
      </c>
      <c r="B26" s="40">
        <v>17.82</v>
      </c>
      <c r="C26" s="40">
        <v>0.01</v>
      </c>
      <c r="D26" s="40">
        <v>2.75</v>
      </c>
      <c r="E26" s="40"/>
      <c r="F26" s="40"/>
      <c r="G26" s="40"/>
      <c r="H26" s="40"/>
      <c r="I26" s="40"/>
      <c r="J26" s="40"/>
      <c r="K26" s="40"/>
      <c r="L26" s="40">
        <v>0.33</v>
      </c>
      <c r="M26" s="40"/>
      <c r="N26" s="40"/>
      <c r="O26" s="40"/>
      <c r="P26" s="40">
        <v>5.65</v>
      </c>
      <c r="Q26" s="40"/>
      <c r="R26" s="40"/>
      <c r="S26" s="40"/>
      <c r="T26" s="40">
        <v>0.34</v>
      </c>
      <c r="U26" s="40"/>
      <c r="V26" s="40"/>
      <c r="W26" s="40"/>
      <c r="X26" s="40"/>
      <c r="Y26" s="40">
        <v>26.9</v>
      </c>
      <c r="Z26" s="66">
        <f t="shared" si="0"/>
        <v>3.4054999710722409E-4</v>
      </c>
    </row>
    <row r="27" spans="1:27" x14ac:dyDescent="0.25">
      <c r="A27" s="6" t="s">
        <v>28</v>
      </c>
      <c r="B27" s="10">
        <v>17.82</v>
      </c>
      <c r="C27" s="10">
        <v>0.01</v>
      </c>
      <c r="D27" s="10">
        <v>2.75</v>
      </c>
      <c r="E27" s="10"/>
      <c r="F27" s="10"/>
      <c r="G27" s="10"/>
      <c r="H27" s="10"/>
      <c r="I27" s="10"/>
      <c r="J27" s="10"/>
      <c r="K27" s="10"/>
      <c r="L27" s="10">
        <v>0.33</v>
      </c>
      <c r="M27" s="10"/>
      <c r="N27" s="10"/>
      <c r="O27" s="10"/>
      <c r="P27" s="10">
        <v>5.65</v>
      </c>
      <c r="Q27" s="10"/>
      <c r="R27" s="10"/>
      <c r="S27" s="10"/>
      <c r="T27" s="10">
        <v>0.34</v>
      </c>
      <c r="U27" s="10"/>
      <c r="V27" s="10"/>
      <c r="W27" s="10"/>
      <c r="X27" s="10"/>
      <c r="Y27" s="10">
        <v>26.9</v>
      </c>
      <c r="Z27" s="19">
        <f t="shared" si="0"/>
        <v>3.4054999710722409E-4</v>
      </c>
    </row>
    <row r="28" spans="1:27" x14ac:dyDescent="0.25">
      <c r="A28" s="14" t="s">
        <v>29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>
        <v>16.759999999999998</v>
      </c>
      <c r="Y28" s="40">
        <v>16.759999999999998</v>
      </c>
      <c r="Z28" s="66">
        <f t="shared" si="0"/>
        <v>2.1217910600435222E-4</v>
      </c>
    </row>
    <row r="29" spans="1:27" x14ac:dyDescent="0.25">
      <c r="A29" s="6" t="s">
        <v>30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v>10.01</v>
      </c>
      <c r="Y29" s="10">
        <v>10.01</v>
      </c>
      <c r="Z29" s="19">
        <f t="shared" si="0"/>
        <v>1.2672511044770681E-4</v>
      </c>
    </row>
    <row r="30" spans="1:27" x14ac:dyDescent="0.25">
      <c r="A30" s="6" t="s">
        <v>31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v>6.75</v>
      </c>
      <c r="Y30" s="10">
        <v>6.75</v>
      </c>
      <c r="Z30" s="19">
        <f t="shared" si="0"/>
        <v>8.5453995556645447E-5</v>
      </c>
    </row>
    <row r="31" spans="1:27" x14ac:dyDescent="0.25">
      <c r="A31" s="14" t="s">
        <v>32</v>
      </c>
      <c r="B31" s="40">
        <v>667.69000000000017</v>
      </c>
      <c r="C31" s="40">
        <v>373.45000000000005</v>
      </c>
      <c r="D31" s="40">
        <v>241.41</v>
      </c>
      <c r="E31" s="40">
        <v>179.23000000000002</v>
      </c>
      <c r="F31" s="40">
        <v>313.94</v>
      </c>
      <c r="G31" s="40">
        <v>286.73999999999995</v>
      </c>
      <c r="H31" s="40">
        <v>230.22</v>
      </c>
      <c r="I31" s="40">
        <v>192.02</v>
      </c>
      <c r="J31" s="40">
        <v>71.72</v>
      </c>
      <c r="K31" s="40">
        <v>128.41999999999999</v>
      </c>
      <c r="L31" s="40">
        <v>126.40999999999998</v>
      </c>
      <c r="M31" s="40">
        <v>268.91000000000003</v>
      </c>
      <c r="N31" s="40">
        <v>307.38000000000005</v>
      </c>
      <c r="O31" s="40">
        <v>273.60000000000002</v>
      </c>
      <c r="P31" s="40">
        <v>337.16999999999996</v>
      </c>
      <c r="Q31" s="40">
        <v>487.3300000000001</v>
      </c>
      <c r="R31" s="40">
        <v>478.07</v>
      </c>
      <c r="S31" s="40">
        <v>352.59000000000003</v>
      </c>
      <c r="T31" s="40">
        <v>191.55</v>
      </c>
      <c r="U31" s="40">
        <v>271.29000000000002</v>
      </c>
      <c r="V31" s="40">
        <v>95.3</v>
      </c>
      <c r="W31" s="40">
        <v>29.34</v>
      </c>
      <c r="X31" s="40">
        <v>72.72</v>
      </c>
      <c r="Y31" s="40">
        <v>5976.5000000000009</v>
      </c>
      <c r="Z31" s="66">
        <f t="shared" si="0"/>
        <v>7.5661600658413569E-2</v>
      </c>
    </row>
    <row r="32" spans="1:27" x14ac:dyDescent="0.25">
      <c r="A32" s="6" t="s">
        <v>32</v>
      </c>
      <c r="B32" s="10">
        <v>667.69000000000017</v>
      </c>
      <c r="C32" s="10">
        <v>373.45000000000005</v>
      </c>
      <c r="D32" s="10">
        <v>241.41</v>
      </c>
      <c r="E32" s="10">
        <v>179.23000000000002</v>
      </c>
      <c r="F32" s="10">
        <v>313.94</v>
      </c>
      <c r="G32" s="10">
        <v>286.73999999999995</v>
      </c>
      <c r="H32" s="10">
        <v>230.22</v>
      </c>
      <c r="I32" s="10">
        <v>192.02</v>
      </c>
      <c r="J32" s="10">
        <v>71.72</v>
      </c>
      <c r="K32" s="10">
        <v>128.41999999999999</v>
      </c>
      <c r="L32" s="10">
        <v>126.40999999999998</v>
      </c>
      <c r="M32" s="10">
        <v>268.91000000000003</v>
      </c>
      <c r="N32" s="10">
        <v>307.38000000000005</v>
      </c>
      <c r="O32" s="10">
        <v>273.60000000000002</v>
      </c>
      <c r="P32" s="10">
        <v>337.16999999999996</v>
      </c>
      <c r="Q32" s="10">
        <v>487.3300000000001</v>
      </c>
      <c r="R32" s="10">
        <v>478.07</v>
      </c>
      <c r="S32" s="10">
        <v>352.59000000000003</v>
      </c>
      <c r="T32" s="10">
        <v>191.55</v>
      </c>
      <c r="U32" s="10">
        <v>271.29000000000002</v>
      </c>
      <c r="V32" s="10">
        <v>95.3</v>
      </c>
      <c r="W32" s="10">
        <v>29.34</v>
      </c>
      <c r="X32" s="10">
        <v>72.72</v>
      </c>
      <c r="Y32" s="10">
        <v>5976.5000000000009</v>
      </c>
      <c r="Z32" s="19">
        <f t="shared" si="0"/>
        <v>7.5661600658413569E-2</v>
      </c>
    </row>
    <row r="33" spans="1:26" x14ac:dyDescent="0.25">
      <c r="A33" s="39" t="s">
        <v>33</v>
      </c>
      <c r="B33" s="41">
        <v>28649.28999999999</v>
      </c>
      <c r="C33" s="41">
        <v>8148.5899999999983</v>
      </c>
      <c r="D33" s="41">
        <v>2499.3200000000002</v>
      </c>
      <c r="E33" s="41">
        <v>2875.9799999999996</v>
      </c>
      <c r="F33" s="41">
        <v>2573.5099999999993</v>
      </c>
      <c r="G33" s="41">
        <v>3856.29</v>
      </c>
      <c r="H33" s="41">
        <v>3048.75</v>
      </c>
      <c r="I33" s="41">
        <v>1391.82</v>
      </c>
      <c r="J33" s="41">
        <v>1500.42</v>
      </c>
      <c r="K33" s="41">
        <v>1492.8999999999999</v>
      </c>
      <c r="L33" s="41">
        <v>1424.6400000000003</v>
      </c>
      <c r="M33" s="41">
        <v>2600.7199999999998</v>
      </c>
      <c r="N33" s="41">
        <v>1466.02</v>
      </c>
      <c r="O33" s="41">
        <v>2004.96</v>
      </c>
      <c r="P33" s="41">
        <v>1960.1799999999996</v>
      </c>
      <c r="Q33" s="41">
        <v>2577.54</v>
      </c>
      <c r="R33" s="41">
        <v>3425.57</v>
      </c>
      <c r="S33" s="41">
        <v>2244.9299999999998</v>
      </c>
      <c r="T33" s="41">
        <v>1705.47</v>
      </c>
      <c r="U33" s="41">
        <v>1629.3700000000001</v>
      </c>
      <c r="V33" s="41">
        <v>1109.9899999999998</v>
      </c>
      <c r="W33" s="41">
        <v>530.26</v>
      </c>
      <c r="X33" s="41">
        <v>273.34999999999997</v>
      </c>
      <c r="Y33" s="41">
        <v>78989.869999999981</v>
      </c>
      <c r="Z33" s="64">
        <f t="shared" si="0"/>
        <v>1</v>
      </c>
    </row>
    <row r="37" spans="1:26" ht="15.75" x14ac:dyDescent="0.25">
      <c r="A37" s="67" t="s">
        <v>56</v>
      </c>
      <c r="B37" s="68" t="s">
        <v>188</v>
      </c>
      <c r="C37" s="68">
        <v>2000</v>
      </c>
      <c r="D37" s="68">
        <v>2001</v>
      </c>
      <c r="E37" s="68">
        <v>2002</v>
      </c>
      <c r="F37" s="68">
        <v>2003</v>
      </c>
      <c r="G37" s="68">
        <v>2004</v>
      </c>
      <c r="H37" s="68">
        <v>2005</v>
      </c>
      <c r="I37" s="68">
        <v>2006</v>
      </c>
      <c r="J37" s="68">
        <v>2007</v>
      </c>
      <c r="K37" s="68">
        <v>2008</v>
      </c>
      <c r="L37" s="68">
        <v>2009</v>
      </c>
      <c r="M37" s="68">
        <v>2010</v>
      </c>
      <c r="N37" s="68">
        <v>2011</v>
      </c>
      <c r="O37" s="68">
        <v>2012</v>
      </c>
      <c r="P37" s="68">
        <v>2013</v>
      </c>
      <c r="Q37" s="68">
        <v>2014</v>
      </c>
      <c r="R37" s="68">
        <v>2015</v>
      </c>
      <c r="S37" s="68">
        <v>2016</v>
      </c>
      <c r="T37" s="68">
        <v>2017</v>
      </c>
      <c r="U37" s="68">
        <v>2018</v>
      </c>
      <c r="V37" s="68">
        <v>2019</v>
      </c>
      <c r="W37" s="68">
        <v>2020</v>
      </c>
      <c r="X37" s="69" t="s">
        <v>53</v>
      </c>
    </row>
    <row r="38" spans="1:26" x14ac:dyDescent="0.25">
      <c r="A38" s="70" t="s">
        <v>96</v>
      </c>
      <c r="B38" s="19">
        <f>B4/$Y$4</f>
        <v>0.22430356689970501</v>
      </c>
      <c r="C38" s="19">
        <f t="shared" ref="C38:W38" si="3">C4/$Y$4</f>
        <v>5.4817399656303438E-2</v>
      </c>
      <c r="D38" s="19">
        <f t="shared" si="3"/>
        <v>3.3336719623027811E-2</v>
      </c>
      <c r="E38" s="19">
        <f t="shared" si="3"/>
        <v>4.7014251543544272E-2</v>
      </c>
      <c r="F38" s="19">
        <f t="shared" si="3"/>
        <v>2.9416674895587427E-2</v>
      </c>
      <c r="G38" s="19">
        <f t="shared" si="3"/>
        <v>6.5579407190916428E-2</v>
      </c>
      <c r="H38" s="19">
        <f t="shared" si="3"/>
        <v>3.7373982070661678E-2</v>
      </c>
      <c r="I38" s="19">
        <f t="shared" si="3"/>
        <v>2.6739848412623425E-2</v>
      </c>
      <c r="J38" s="19">
        <f t="shared" si="3"/>
        <v>2.8065474266447957E-2</v>
      </c>
      <c r="K38" s="19">
        <f t="shared" si="3"/>
        <v>3.5129085126350053E-2</v>
      </c>
      <c r="L38" s="19">
        <f t="shared" si="3"/>
        <v>1.9702522738461695E-2</v>
      </c>
      <c r="M38" s="19">
        <f t="shared" si="3"/>
        <v>4.69133732631353E-2</v>
      </c>
      <c r="N38" s="19">
        <f t="shared" si="3"/>
        <v>2.2497987762470015E-2</v>
      </c>
      <c r="O38" s="19">
        <f t="shared" si="3"/>
        <v>3.464742685791862E-2</v>
      </c>
      <c r="P38" s="19">
        <f t="shared" si="3"/>
        <v>2.7614363646309384E-2</v>
      </c>
      <c r="Q38" s="19">
        <f t="shared" si="3"/>
        <v>4.1514254029980747E-2</v>
      </c>
      <c r="R38" s="19">
        <f t="shared" si="3"/>
        <v>7.9986530618334148E-2</v>
      </c>
      <c r="S38" s="19">
        <f t="shared" si="3"/>
        <v>4.6958839530361882E-2</v>
      </c>
      <c r="T38" s="19">
        <f t="shared" si="3"/>
        <v>3.2823803295878126E-2</v>
      </c>
      <c r="U38" s="19">
        <f t="shared" si="3"/>
        <v>2.6813020686441175E-2</v>
      </c>
      <c r="V38" s="19">
        <f t="shared" si="3"/>
        <v>2.6974283853010404E-2</v>
      </c>
      <c r="W38" s="19">
        <f t="shared" si="3"/>
        <v>1.1125027262000075E-2</v>
      </c>
      <c r="X38" s="138">
        <f>X4/Y4</f>
        <v>6.5215677053103891E-4</v>
      </c>
    </row>
    <row r="39" spans="1:26" x14ac:dyDescent="0.25">
      <c r="A39" s="70" t="s">
        <v>14</v>
      </c>
      <c r="B39" s="19">
        <f>B12/$Y$12</f>
        <v>0.42407672530042395</v>
      </c>
      <c r="C39" s="19">
        <f t="shared" ref="C39:W39" si="4">C12/$Y$12</f>
        <v>0.11502122542272214</v>
      </c>
      <c r="D39" s="19">
        <f t="shared" si="4"/>
        <v>2.7710054941502967E-2</v>
      </c>
      <c r="E39" s="19">
        <f t="shared" si="4"/>
        <v>3.0180021979625563E-2</v>
      </c>
      <c r="F39" s="19">
        <f t="shared" si="4"/>
        <v>2.8261624836447612E-2</v>
      </c>
      <c r="G39" s="19">
        <f t="shared" si="4"/>
        <v>4.4659771349894531E-2</v>
      </c>
      <c r="H39" s="19">
        <f t="shared" si="4"/>
        <v>3.8238650948499854E-2</v>
      </c>
      <c r="I39" s="19">
        <f t="shared" si="4"/>
        <v>1.3697760112083235E-2</v>
      </c>
      <c r="J39" s="19">
        <f t="shared" si="4"/>
        <v>1.8641096607145757E-2</v>
      </c>
      <c r="K39" s="19">
        <f t="shared" si="4"/>
        <v>1.533696988897151E-2</v>
      </c>
      <c r="L39" s="19">
        <f t="shared" si="4"/>
        <v>1.8424475942441655E-2</v>
      </c>
      <c r="M39" s="19">
        <f t="shared" si="4"/>
        <v>2.8747981704059872E-2</v>
      </c>
      <c r="N39" s="19">
        <f t="shared" si="4"/>
        <v>1.5194446345178409E-2</v>
      </c>
      <c r="O39" s="19">
        <f t="shared" si="4"/>
        <v>2.2749706352353738E-2</v>
      </c>
      <c r="P39" s="19">
        <f t="shared" si="4"/>
        <v>2.2201349852958796E-2</v>
      </c>
      <c r="Q39" s="19">
        <f t="shared" si="4"/>
        <v>2.6960388662081971E-2</v>
      </c>
      <c r="R39" s="19">
        <f t="shared" si="4"/>
        <v>3.3186815097817651E-2</v>
      </c>
      <c r="S39" s="19">
        <f t="shared" si="4"/>
        <v>2.015252665511608E-2</v>
      </c>
      <c r="T39" s="19">
        <f t="shared" si="4"/>
        <v>1.8639584421004718E-2</v>
      </c>
      <c r="U39" s="19">
        <f t="shared" si="4"/>
        <v>1.7637761102565156E-2</v>
      </c>
      <c r="V39" s="19">
        <f t="shared" si="4"/>
        <v>1.0976392128012605E-2</v>
      </c>
      <c r="W39" s="19">
        <f t="shared" si="4"/>
        <v>6.0071594452847585E-3</v>
      </c>
      <c r="X39" s="138">
        <f>X12/Y12</f>
        <v>3.2975109038071923E-3</v>
      </c>
    </row>
    <row r="40" spans="1:26" x14ac:dyDescent="0.25">
      <c r="A40" s="70" t="s">
        <v>97</v>
      </c>
      <c r="B40" s="19">
        <f>B16/$Y$16</f>
        <v>1</v>
      </c>
      <c r="C40" s="19">
        <f t="shared" ref="C40:W40" si="5">C16/$Y$16</f>
        <v>0</v>
      </c>
      <c r="D40" s="19">
        <f t="shared" si="5"/>
        <v>0</v>
      </c>
      <c r="E40" s="19">
        <f t="shared" si="5"/>
        <v>0</v>
      </c>
      <c r="F40" s="19">
        <f t="shared" si="5"/>
        <v>0</v>
      </c>
      <c r="G40" s="19">
        <f t="shared" si="5"/>
        <v>0</v>
      </c>
      <c r="H40" s="19">
        <f t="shared" si="5"/>
        <v>0</v>
      </c>
      <c r="I40" s="19">
        <f t="shared" si="5"/>
        <v>0</v>
      </c>
      <c r="J40" s="19">
        <f t="shared" si="5"/>
        <v>0</v>
      </c>
      <c r="K40" s="19">
        <f t="shared" si="5"/>
        <v>0</v>
      </c>
      <c r="L40" s="19">
        <f t="shared" si="5"/>
        <v>0</v>
      </c>
      <c r="M40" s="19">
        <f t="shared" si="5"/>
        <v>0</v>
      </c>
      <c r="N40" s="19">
        <f t="shared" si="5"/>
        <v>0</v>
      </c>
      <c r="O40" s="19">
        <f t="shared" si="5"/>
        <v>0</v>
      </c>
      <c r="P40" s="19">
        <f t="shared" si="5"/>
        <v>0</v>
      </c>
      <c r="Q40" s="19">
        <f t="shared" si="5"/>
        <v>0</v>
      </c>
      <c r="R40" s="19">
        <f t="shared" si="5"/>
        <v>0</v>
      </c>
      <c r="S40" s="19">
        <f t="shared" si="5"/>
        <v>0</v>
      </c>
      <c r="T40" s="19">
        <f t="shared" si="5"/>
        <v>0</v>
      </c>
      <c r="U40" s="19">
        <f t="shared" si="5"/>
        <v>0</v>
      </c>
      <c r="V40" s="19">
        <f t="shared" si="5"/>
        <v>0</v>
      </c>
      <c r="W40" s="19">
        <f t="shared" si="5"/>
        <v>0</v>
      </c>
      <c r="X40" s="138">
        <f>X16/Y16</f>
        <v>0</v>
      </c>
    </row>
    <row r="41" spans="1:26" x14ac:dyDescent="0.25">
      <c r="A41" s="70" t="s">
        <v>18</v>
      </c>
      <c r="B41" s="19">
        <f>B18/$Y$18</f>
        <v>0</v>
      </c>
      <c r="C41" s="19">
        <f t="shared" ref="C41:W41" si="6">C18/$Y$18</f>
        <v>0</v>
      </c>
      <c r="D41" s="19">
        <f t="shared" si="6"/>
        <v>0</v>
      </c>
      <c r="E41" s="19">
        <f t="shared" si="6"/>
        <v>0</v>
      </c>
      <c r="F41" s="19">
        <f t="shared" si="6"/>
        <v>0</v>
      </c>
      <c r="G41" s="19">
        <f t="shared" si="6"/>
        <v>0</v>
      </c>
      <c r="H41" s="19">
        <f t="shared" si="6"/>
        <v>0</v>
      </c>
      <c r="I41" s="19">
        <f t="shared" si="6"/>
        <v>0</v>
      </c>
      <c r="J41" s="19">
        <f t="shared" si="6"/>
        <v>0</v>
      </c>
      <c r="K41" s="19">
        <f t="shared" si="6"/>
        <v>0</v>
      </c>
      <c r="L41" s="19">
        <f t="shared" si="6"/>
        <v>0</v>
      </c>
      <c r="M41" s="19">
        <f t="shared" si="6"/>
        <v>0</v>
      </c>
      <c r="N41" s="19">
        <f t="shared" si="6"/>
        <v>0</v>
      </c>
      <c r="O41" s="19">
        <f t="shared" si="6"/>
        <v>0</v>
      </c>
      <c r="P41" s="19">
        <f t="shared" si="6"/>
        <v>0</v>
      </c>
      <c r="Q41" s="19">
        <f t="shared" si="6"/>
        <v>0</v>
      </c>
      <c r="R41" s="19">
        <f t="shared" si="6"/>
        <v>0</v>
      </c>
      <c r="S41" s="19">
        <f t="shared" si="6"/>
        <v>0</v>
      </c>
      <c r="T41" s="19">
        <f t="shared" si="6"/>
        <v>0</v>
      </c>
      <c r="U41" s="19">
        <f t="shared" si="6"/>
        <v>0</v>
      </c>
      <c r="V41" s="19">
        <f t="shared" si="6"/>
        <v>0</v>
      </c>
      <c r="W41" s="19">
        <f t="shared" si="6"/>
        <v>0</v>
      </c>
      <c r="X41" s="138">
        <f>X18/Y18</f>
        <v>1</v>
      </c>
    </row>
    <row r="42" spans="1:26" x14ac:dyDescent="0.25">
      <c r="A42" s="70" t="s">
        <v>19</v>
      </c>
      <c r="B42" s="19">
        <f>B20/$Y$20</f>
        <v>0.3962554016666805</v>
      </c>
      <c r="C42" s="19">
        <f t="shared" ref="C42:W42" si="7">C20/$Y$20</f>
        <v>0.15351682979630399</v>
      </c>
      <c r="D42" s="19">
        <f t="shared" si="7"/>
        <v>5.3484231730455814E-2</v>
      </c>
      <c r="E42" s="19">
        <f t="shared" si="7"/>
        <v>7.2255702571903835E-2</v>
      </c>
      <c r="F42" s="19">
        <f t="shared" si="7"/>
        <v>5.8567858307073804E-2</v>
      </c>
      <c r="G42" s="19">
        <f t="shared" si="7"/>
        <v>4.7397587743127266E-2</v>
      </c>
      <c r="H42" s="19">
        <f t="shared" si="7"/>
        <v>4.5048855306380052E-2</v>
      </c>
      <c r="I42" s="19">
        <f t="shared" si="7"/>
        <v>1.6494621319135077E-2</v>
      </c>
      <c r="J42" s="19">
        <f t="shared" si="7"/>
        <v>7.9338677187204901E-3</v>
      </c>
      <c r="K42" s="19">
        <f t="shared" si="7"/>
        <v>9.7777480587433897E-3</v>
      </c>
      <c r="L42" s="19">
        <f t="shared" si="7"/>
        <v>7.6630530178286391E-3</v>
      </c>
      <c r="M42" s="19">
        <f t="shared" si="7"/>
        <v>2.5159020051989743E-2</v>
      </c>
      <c r="N42" s="19">
        <f t="shared" si="7"/>
        <v>6.3708322536965402E-3</v>
      </c>
      <c r="O42" s="19">
        <f t="shared" si="7"/>
        <v>6.7051713906000595E-3</v>
      </c>
      <c r="P42" s="19">
        <f t="shared" si="7"/>
        <v>9.0472170446092015E-3</v>
      </c>
      <c r="Q42" s="19">
        <f t="shared" si="7"/>
        <v>1.3284965604861296E-2</v>
      </c>
      <c r="R42" s="19">
        <f t="shared" si="7"/>
        <v>1.1013131169601892E-2</v>
      </c>
      <c r="S42" s="19">
        <f t="shared" si="7"/>
        <v>2.7614741012546091E-2</v>
      </c>
      <c r="T42" s="19">
        <f t="shared" si="7"/>
        <v>1.0939576559483117E-2</v>
      </c>
      <c r="U42" s="19">
        <f t="shared" si="7"/>
        <v>7.9321960230359714E-3</v>
      </c>
      <c r="V42" s="19">
        <f t="shared" si="7"/>
        <v>9.0773075669305179E-3</v>
      </c>
      <c r="W42" s="19">
        <f t="shared" si="7"/>
        <v>4.4333369553406525E-3</v>
      </c>
      <c r="X42" s="90">
        <f>X20/Y20</f>
        <v>2.6747130952281459E-5</v>
      </c>
    </row>
    <row r="43" spans="1:26" x14ac:dyDescent="0.25">
      <c r="A43" s="70" t="s">
        <v>23</v>
      </c>
      <c r="B43" s="19">
        <f>B23/$Y$23</f>
        <v>9.1984231274638645E-2</v>
      </c>
      <c r="C43" s="19">
        <f t="shared" ref="C43:W43" si="8">C23/$Y$23</f>
        <v>1.8396846254927726E-2</v>
      </c>
      <c r="D43" s="19">
        <f t="shared" si="8"/>
        <v>0</v>
      </c>
      <c r="E43" s="19">
        <f t="shared" si="8"/>
        <v>0.80157687253613663</v>
      </c>
      <c r="F43" s="19">
        <f t="shared" si="8"/>
        <v>0</v>
      </c>
      <c r="G43" s="19">
        <f t="shared" si="8"/>
        <v>3.1537450722733243E-2</v>
      </c>
      <c r="H43" s="19">
        <f t="shared" si="8"/>
        <v>0</v>
      </c>
      <c r="I43" s="19">
        <f t="shared" si="8"/>
        <v>9.1984231274638631E-3</v>
      </c>
      <c r="J43" s="19">
        <f t="shared" si="8"/>
        <v>0</v>
      </c>
      <c r="K43" s="19">
        <f t="shared" si="8"/>
        <v>1.5768725361366621E-2</v>
      </c>
      <c r="L43" s="19">
        <f t="shared" si="8"/>
        <v>0</v>
      </c>
      <c r="M43" s="19">
        <f t="shared" si="8"/>
        <v>9.1984231274638614E-3</v>
      </c>
      <c r="N43" s="19">
        <f t="shared" si="8"/>
        <v>0</v>
      </c>
      <c r="O43" s="19">
        <f t="shared" si="8"/>
        <v>0</v>
      </c>
      <c r="P43" s="19">
        <f t="shared" si="8"/>
        <v>0</v>
      </c>
      <c r="Q43" s="19">
        <f t="shared" si="8"/>
        <v>9.1984231274638631E-3</v>
      </c>
      <c r="R43" s="19">
        <f t="shared" si="8"/>
        <v>0</v>
      </c>
      <c r="S43" s="19">
        <f t="shared" si="8"/>
        <v>0</v>
      </c>
      <c r="T43" s="19">
        <f t="shared" si="8"/>
        <v>0</v>
      </c>
      <c r="U43" s="19">
        <f t="shared" si="8"/>
        <v>1.3140604467805518E-2</v>
      </c>
      <c r="V43" s="19">
        <f t="shared" si="8"/>
        <v>0</v>
      </c>
      <c r="W43" s="19">
        <f t="shared" si="8"/>
        <v>0</v>
      </c>
      <c r="X43" s="138">
        <f>X23/Y23</f>
        <v>0</v>
      </c>
    </row>
    <row r="44" spans="1:26" x14ac:dyDescent="0.25">
      <c r="A44" s="70" t="s">
        <v>28</v>
      </c>
      <c r="B44" s="19">
        <f>B26/$Y$26</f>
        <v>0.66245353159851306</v>
      </c>
      <c r="C44" s="19">
        <f t="shared" ref="C44:W44" si="9">C26/$Y$26</f>
        <v>3.7174721189591083E-4</v>
      </c>
      <c r="D44" s="19">
        <f t="shared" si="9"/>
        <v>0.10223048327137547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1.2267657992565057E-2</v>
      </c>
      <c r="M44" s="19">
        <f t="shared" si="9"/>
        <v>0</v>
      </c>
      <c r="N44" s="19">
        <f t="shared" si="9"/>
        <v>0</v>
      </c>
      <c r="O44" s="19">
        <f t="shared" si="9"/>
        <v>0</v>
      </c>
      <c r="P44" s="19">
        <f t="shared" si="9"/>
        <v>0.21003717472118963</v>
      </c>
      <c r="Q44" s="19">
        <f t="shared" si="9"/>
        <v>0</v>
      </c>
      <c r="R44" s="19">
        <f t="shared" si="9"/>
        <v>0</v>
      </c>
      <c r="S44" s="19">
        <f t="shared" si="9"/>
        <v>0</v>
      </c>
      <c r="T44" s="19">
        <f t="shared" si="9"/>
        <v>1.2639405204460968E-2</v>
      </c>
      <c r="U44" s="19">
        <f t="shared" si="9"/>
        <v>0</v>
      </c>
      <c r="V44" s="19">
        <f t="shared" si="9"/>
        <v>0</v>
      </c>
      <c r="W44" s="19">
        <f t="shared" si="9"/>
        <v>0</v>
      </c>
      <c r="X44" s="138">
        <f>X26/Y26</f>
        <v>0</v>
      </c>
    </row>
    <row r="45" spans="1:26" x14ac:dyDescent="0.25">
      <c r="A45" s="70" t="s">
        <v>29</v>
      </c>
      <c r="B45" s="19">
        <f>B28/$Y$28</f>
        <v>0</v>
      </c>
      <c r="C45" s="19">
        <f t="shared" ref="C45:W45" si="10">C28/$Y$28</f>
        <v>0</v>
      </c>
      <c r="D45" s="19">
        <f t="shared" si="10"/>
        <v>0</v>
      </c>
      <c r="E45" s="19">
        <f t="shared" si="10"/>
        <v>0</v>
      </c>
      <c r="F45" s="19">
        <f t="shared" si="10"/>
        <v>0</v>
      </c>
      <c r="G45" s="19">
        <f t="shared" si="10"/>
        <v>0</v>
      </c>
      <c r="H45" s="19">
        <f t="shared" si="10"/>
        <v>0</v>
      </c>
      <c r="I45" s="19">
        <f t="shared" si="10"/>
        <v>0</v>
      </c>
      <c r="J45" s="19">
        <f t="shared" si="10"/>
        <v>0</v>
      </c>
      <c r="K45" s="19">
        <f t="shared" si="10"/>
        <v>0</v>
      </c>
      <c r="L45" s="19">
        <f t="shared" si="10"/>
        <v>0</v>
      </c>
      <c r="M45" s="19">
        <f t="shared" si="10"/>
        <v>0</v>
      </c>
      <c r="N45" s="19">
        <f t="shared" si="10"/>
        <v>0</v>
      </c>
      <c r="O45" s="19">
        <f t="shared" si="10"/>
        <v>0</v>
      </c>
      <c r="P45" s="19">
        <f t="shared" si="10"/>
        <v>0</v>
      </c>
      <c r="Q45" s="19">
        <f t="shared" si="10"/>
        <v>0</v>
      </c>
      <c r="R45" s="19">
        <f t="shared" si="10"/>
        <v>0</v>
      </c>
      <c r="S45" s="19">
        <f t="shared" si="10"/>
        <v>0</v>
      </c>
      <c r="T45" s="19">
        <f t="shared" si="10"/>
        <v>0</v>
      </c>
      <c r="U45" s="19">
        <f t="shared" si="10"/>
        <v>0</v>
      </c>
      <c r="V45" s="19">
        <f t="shared" si="10"/>
        <v>0</v>
      </c>
      <c r="W45" s="19">
        <f t="shared" si="10"/>
        <v>0</v>
      </c>
      <c r="X45" s="138">
        <f>X28/Y28</f>
        <v>1</v>
      </c>
    </row>
    <row r="46" spans="1:26" x14ac:dyDescent="0.25">
      <c r="A46" s="70" t="s">
        <v>32</v>
      </c>
      <c r="B46" s="19">
        <f>B31/$Y$31</f>
        <v>0.11171923366518867</v>
      </c>
      <c r="C46" s="19">
        <f t="shared" ref="C46:W46" si="11">C31/$Y$31</f>
        <v>6.248640508658914E-2</v>
      </c>
      <c r="D46" s="19">
        <f t="shared" si="11"/>
        <v>4.0393206726344846E-2</v>
      </c>
      <c r="E46" s="19">
        <f t="shared" si="11"/>
        <v>2.998912406927131E-2</v>
      </c>
      <c r="F46" s="19">
        <f t="shared" si="11"/>
        <v>5.2529072199447829E-2</v>
      </c>
      <c r="G46" s="19">
        <f t="shared" si="11"/>
        <v>4.7977913494520186E-2</v>
      </c>
      <c r="H46" s="19">
        <f t="shared" si="11"/>
        <v>3.8520873420898515E-2</v>
      </c>
      <c r="I46" s="19">
        <f t="shared" si="11"/>
        <v>3.2129172592654562E-2</v>
      </c>
      <c r="J46" s="19">
        <f t="shared" si="11"/>
        <v>1.2000334644022418E-2</v>
      </c>
      <c r="K46" s="19">
        <f t="shared" si="11"/>
        <v>2.1487492679662004E-2</v>
      </c>
      <c r="L46" s="19">
        <f t="shared" si="11"/>
        <v>2.1151175437128748E-2</v>
      </c>
      <c r="M46" s="19">
        <f t="shared" si="11"/>
        <v>4.499456203463565E-2</v>
      </c>
      <c r="N46" s="19">
        <f t="shared" si="11"/>
        <v>5.1431439805906469E-2</v>
      </c>
      <c r="O46" s="19">
        <f t="shared" si="11"/>
        <v>4.5779302267213245E-2</v>
      </c>
      <c r="P46" s="19">
        <f t="shared" si="11"/>
        <v>5.6415962519869474E-2</v>
      </c>
      <c r="Q46" s="19">
        <f t="shared" si="11"/>
        <v>8.1541035723249403E-2</v>
      </c>
      <c r="R46" s="19">
        <f t="shared" si="11"/>
        <v>7.999163389943946E-2</v>
      </c>
      <c r="S46" s="19">
        <f t="shared" si="11"/>
        <v>5.8996067932736547E-2</v>
      </c>
      <c r="T46" s="19">
        <f t="shared" si="11"/>
        <v>3.2050531247385591E-2</v>
      </c>
      <c r="U46" s="19">
        <f t="shared" si="11"/>
        <v>4.5392788421316818E-2</v>
      </c>
      <c r="V46" s="19">
        <f t="shared" si="11"/>
        <v>1.594578766836777E-2</v>
      </c>
      <c r="W46" s="19">
        <f t="shared" si="11"/>
        <v>4.9092278089182626E-3</v>
      </c>
      <c r="X46" s="138">
        <f>X31/Y31</f>
        <v>1.2167656655232994E-2</v>
      </c>
    </row>
    <row r="47" spans="1:26" x14ac:dyDescent="0.25">
      <c r="A47" s="70" t="s">
        <v>33</v>
      </c>
      <c r="B47" s="19">
        <f>B33/$Y$33</f>
        <v>0.36269574820163647</v>
      </c>
      <c r="C47" s="19">
        <f t="shared" ref="C47:W47" si="12">C33/$Y$33</f>
        <v>0.10315993683747043</v>
      </c>
      <c r="D47" s="19">
        <f t="shared" si="12"/>
        <v>3.1641019285131126E-2</v>
      </c>
      <c r="E47" s="19">
        <f t="shared" si="12"/>
        <v>3.6409478835703869E-2</v>
      </c>
      <c r="F47" s="19">
        <f t="shared" si="12"/>
        <v>3.2580253645182605E-2</v>
      </c>
      <c r="G47" s="19">
        <f t="shared" si="12"/>
        <v>4.8820057559279449E-2</v>
      </c>
      <c r="H47" s="19">
        <f t="shared" si="12"/>
        <v>3.8596721326418192E-2</v>
      </c>
      <c r="I47" s="19">
        <f t="shared" si="12"/>
        <v>1.7620234088244483E-2</v>
      </c>
      <c r="J47" s="19">
        <f t="shared" si="12"/>
        <v>1.8995093927866958E-2</v>
      </c>
      <c r="K47" s="19">
        <f t="shared" si="12"/>
        <v>1.8899891846891257E-2</v>
      </c>
      <c r="L47" s="19">
        <f t="shared" si="12"/>
        <v>1.803573040441769E-2</v>
      </c>
      <c r="M47" s="19">
        <f t="shared" si="12"/>
        <v>3.2924728196159846E-2</v>
      </c>
      <c r="N47" s="19">
        <f t="shared" si="12"/>
        <v>1.8559595046807906E-2</v>
      </c>
      <c r="O47" s="19">
        <f t="shared" si="12"/>
        <v>2.5382495249074349E-2</v>
      </c>
      <c r="P47" s="19">
        <f t="shared" si="12"/>
        <v>2.4815587112625961E-2</v>
      </c>
      <c r="Q47" s="19">
        <f t="shared" si="12"/>
        <v>3.2631272845492727E-2</v>
      </c>
      <c r="R47" s="19">
        <f t="shared" si="12"/>
        <v>4.3367206453181921E-2</v>
      </c>
      <c r="S47" s="19">
        <f t="shared" si="12"/>
        <v>2.8420479739997045E-2</v>
      </c>
      <c r="T47" s="19">
        <f t="shared" si="12"/>
        <v>2.1590996415109944E-2</v>
      </c>
      <c r="U47" s="19">
        <f t="shared" si="12"/>
        <v>2.0627581739278728E-2</v>
      </c>
      <c r="V47" s="19">
        <f t="shared" si="12"/>
        <v>1.4052308226358647E-2</v>
      </c>
      <c r="W47" s="19">
        <f t="shared" si="12"/>
        <v>6.7130126939061946E-3</v>
      </c>
      <c r="X47" s="138">
        <f>X33/Y33</f>
        <v>3.460570323764301E-3</v>
      </c>
    </row>
  </sheetData>
  <mergeCells count="1">
    <mergeCell ref="A2:H2"/>
  </mergeCells>
  <hyperlinks>
    <hyperlink ref="E1" r:id="rId1" location="INDICE!A1"/>
  </hyperlinks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B1" workbookViewId="0">
      <selection activeCell="D1" sqref="D1:E1"/>
    </sheetView>
  </sheetViews>
  <sheetFormatPr baseColWidth="10" defaultRowHeight="15" x14ac:dyDescent="0.25"/>
  <cols>
    <col min="1" max="1" width="20.42578125" customWidth="1"/>
    <col min="24" max="24" width="19.85546875" customWidth="1"/>
    <col min="25" max="25" width="15.7109375" customWidth="1"/>
    <col min="26" max="26" width="14.42578125" customWidth="1"/>
  </cols>
  <sheetData>
    <row r="1" spans="1:26" x14ac:dyDescent="0.25">
      <c r="D1" s="30" t="s">
        <v>51</v>
      </c>
      <c r="E1" s="182" t="s">
        <v>52</v>
      </c>
      <c r="F1" s="30" t="s">
        <v>156</v>
      </c>
      <c r="G1" t="s">
        <v>189</v>
      </c>
    </row>
    <row r="2" spans="1:26" ht="18.75" x14ac:dyDescent="0.3">
      <c r="A2" s="94" t="s">
        <v>141</v>
      </c>
      <c r="B2" s="36"/>
      <c r="C2" s="36"/>
      <c r="D2" s="36"/>
      <c r="E2" s="36"/>
      <c r="F2" s="36"/>
      <c r="G2" s="36"/>
      <c r="H2" s="36"/>
      <c r="K2" s="30"/>
      <c r="L2" s="31"/>
    </row>
    <row r="3" spans="1:26" ht="34.5" customHeight="1" x14ac:dyDescent="0.25">
      <c r="A3" s="32" t="s">
        <v>0</v>
      </c>
      <c r="B3" s="33" t="s">
        <v>188</v>
      </c>
      <c r="C3" s="33">
        <v>2000</v>
      </c>
      <c r="D3" s="33">
        <v>2001</v>
      </c>
      <c r="E3" s="33">
        <v>2002</v>
      </c>
      <c r="F3" s="33">
        <v>2003</v>
      </c>
      <c r="G3" s="33">
        <v>2004</v>
      </c>
      <c r="H3" s="33">
        <v>2005</v>
      </c>
      <c r="I3" s="33">
        <v>2006</v>
      </c>
      <c r="J3" s="33">
        <v>2007</v>
      </c>
      <c r="K3" s="33">
        <v>2008</v>
      </c>
      <c r="L3" s="33">
        <v>2009</v>
      </c>
      <c r="M3" s="33">
        <v>2010</v>
      </c>
      <c r="N3" s="33">
        <v>2011</v>
      </c>
      <c r="O3" s="33">
        <v>2012</v>
      </c>
      <c r="P3" s="33">
        <v>2013</v>
      </c>
      <c r="Q3" s="33">
        <v>2014</v>
      </c>
      <c r="R3" s="33">
        <v>2015</v>
      </c>
      <c r="S3" s="33">
        <v>2016</v>
      </c>
      <c r="T3" s="33">
        <v>2017</v>
      </c>
      <c r="U3" s="33">
        <v>2018</v>
      </c>
      <c r="V3" s="33">
        <v>2019</v>
      </c>
      <c r="W3" s="33">
        <v>2020</v>
      </c>
      <c r="X3" s="32" t="s">
        <v>53</v>
      </c>
      <c r="Y3" s="32" t="s">
        <v>54</v>
      </c>
      <c r="Z3" s="34" t="s">
        <v>55</v>
      </c>
    </row>
    <row r="4" spans="1:26" x14ac:dyDescent="0.25">
      <c r="A4" s="14" t="s">
        <v>4</v>
      </c>
      <c r="B4" s="40">
        <v>824.30000000000007</v>
      </c>
      <c r="C4" s="40">
        <v>197.2</v>
      </c>
      <c r="D4" s="40">
        <v>138.97</v>
      </c>
      <c r="E4" s="40">
        <v>198.48000000000002</v>
      </c>
      <c r="F4" s="40">
        <v>61</v>
      </c>
      <c r="G4" s="40">
        <v>68.91</v>
      </c>
      <c r="H4" s="40">
        <v>92.8</v>
      </c>
      <c r="I4" s="40">
        <v>43.07</v>
      </c>
      <c r="J4" s="40">
        <v>44.75</v>
      </c>
      <c r="K4" s="40">
        <v>38.93</v>
      </c>
      <c r="L4" s="40">
        <v>36.36</v>
      </c>
      <c r="M4" s="40">
        <v>27.009999999999998</v>
      </c>
      <c r="N4" s="40">
        <v>66.710000000000008</v>
      </c>
      <c r="O4" s="40">
        <v>53.06</v>
      </c>
      <c r="P4" s="40">
        <v>65.739999999999995</v>
      </c>
      <c r="Q4" s="40">
        <v>141.9</v>
      </c>
      <c r="R4" s="40">
        <v>228.55999999999997</v>
      </c>
      <c r="S4" s="40">
        <v>97.039999999999992</v>
      </c>
      <c r="T4" s="40">
        <v>30.14</v>
      </c>
      <c r="U4" s="40">
        <v>20.13</v>
      </c>
      <c r="V4" s="40">
        <v>16.010000000000002</v>
      </c>
      <c r="W4" s="40"/>
      <c r="X4" s="40"/>
      <c r="Y4" s="40">
        <v>2491.0700000000002</v>
      </c>
      <c r="Z4" s="66">
        <f>Y4/$Y$25</f>
        <v>5.7672802284621523E-2</v>
      </c>
    </row>
    <row r="5" spans="1:26" x14ac:dyDescent="0.25">
      <c r="A5" s="6" t="s">
        <v>5</v>
      </c>
      <c r="B5" s="10">
        <v>38.210000000000008</v>
      </c>
      <c r="C5" s="10">
        <v>19.420000000000002</v>
      </c>
      <c r="D5" s="10">
        <v>0.25</v>
      </c>
      <c r="E5" s="10">
        <v>9.43</v>
      </c>
      <c r="F5" s="10"/>
      <c r="G5" s="10">
        <v>15.400000000000002</v>
      </c>
      <c r="H5" s="10">
        <v>18.84</v>
      </c>
      <c r="I5" s="10"/>
      <c r="J5" s="10">
        <v>1.47</v>
      </c>
      <c r="K5" s="10"/>
      <c r="L5" s="10"/>
      <c r="M5" s="10">
        <v>4.42</v>
      </c>
      <c r="N5" s="10">
        <v>24.01</v>
      </c>
      <c r="O5" s="10">
        <v>7.04</v>
      </c>
      <c r="P5" s="10"/>
      <c r="Q5" s="10">
        <v>14.57</v>
      </c>
      <c r="R5" s="10">
        <v>5.21</v>
      </c>
      <c r="S5" s="10">
        <v>16.29</v>
      </c>
      <c r="T5" s="10">
        <v>0.18</v>
      </c>
      <c r="U5" s="10">
        <v>5.42</v>
      </c>
      <c r="V5" s="10">
        <v>0.71</v>
      </c>
      <c r="W5" s="10"/>
      <c r="X5" s="10"/>
      <c r="Y5" s="10">
        <v>180.87000000000003</v>
      </c>
      <c r="Z5" s="19">
        <f t="shared" ref="Z5:Z25" si="0">Y5/$Y$25</f>
        <v>4.1874695408878494E-3</v>
      </c>
    </row>
    <row r="6" spans="1:26" x14ac:dyDescent="0.25">
      <c r="A6" s="6" t="s">
        <v>6</v>
      </c>
      <c r="B6" s="10">
        <v>19.839999999999996</v>
      </c>
      <c r="C6" s="10">
        <v>4.2</v>
      </c>
      <c r="D6" s="10">
        <v>4.1500000000000004</v>
      </c>
      <c r="E6" s="10">
        <v>1.76</v>
      </c>
      <c r="F6" s="10">
        <v>8.85</v>
      </c>
      <c r="G6" s="10"/>
      <c r="H6" s="10">
        <v>0.77</v>
      </c>
      <c r="I6" s="10"/>
      <c r="J6" s="10"/>
      <c r="K6" s="10"/>
      <c r="L6" s="10">
        <v>0.14000000000000001</v>
      </c>
      <c r="M6" s="10">
        <v>1.92</v>
      </c>
      <c r="N6" s="10"/>
      <c r="O6" s="10">
        <v>0.79</v>
      </c>
      <c r="P6" s="10">
        <v>2.0499999999999998</v>
      </c>
      <c r="Q6" s="10"/>
      <c r="R6" s="10">
        <v>0.79</v>
      </c>
      <c r="S6" s="10"/>
      <c r="T6" s="10">
        <v>0.87</v>
      </c>
      <c r="U6" s="10"/>
      <c r="V6" s="10"/>
      <c r="W6" s="10"/>
      <c r="X6" s="10"/>
      <c r="Y6" s="10">
        <v>46.129999999999995</v>
      </c>
      <c r="Z6" s="19">
        <f t="shared" si="0"/>
        <v>1.0679934202529797E-3</v>
      </c>
    </row>
    <row r="7" spans="1:26" x14ac:dyDescent="0.25">
      <c r="A7" s="6" t="s">
        <v>7</v>
      </c>
      <c r="B7" s="10"/>
      <c r="C7" s="10"/>
      <c r="D7" s="10">
        <v>6.75</v>
      </c>
      <c r="E7" s="10"/>
      <c r="F7" s="10"/>
      <c r="G7" s="10">
        <v>8.24</v>
      </c>
      <c r="H7" s="10"/>
      <c r="I7" s="10"/>
      <c r="J7" s="10"/>
      <c r="K7" s="10"/>
      <c r="L7" s="10"/>
      <c r="M7" s="10">
        <v>0.28999999999999998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v>15.28</v>
      </c>
      <c r="Z7" s="19">
        <f t="shared" si="0"/>
        <v>3.5375979756049279E-4</v>
      </c>
    </row>
    <row r="8" spans="1:26" x14ac:dyDescent="0.25">
      <c r="A8" s="6" t="s">
        <v>8</v>
      </c>
      <c r="B8" s="10">
        <v>9.9999999999999992E-2</v>
      </c>
      <c r="C8" s="10">
        <v>0.54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0.64000000000000012</v>
      </c>
      <c r="Z8" s="19">
        <f t="shared" si="0"/>
        <v>1.481716429572745E-5</v>
      </c>
    </row>
    <row r="9" spans="1:26" x14ac:dyDescent="0.25">
      <c r="A9" s="6" t="s">
        <v>9</v>
      </c>
      <c r="B9" s="10">
        <v>597.57000000000005</v>
      </c>
      <c r="C9" s="10">
        <v>125.50999999999999</v>
      </c>
      <c r="D9" s="10">
        <v>127.82</v>
      </c>
      <c r="E9" s="10">
        <v>161.82000000000002</v>
      </c>
      <c r="F9" s="10">
        <v>22.75</v>
      </c>
      <c r="G9" s="10">
        <v>29.3</v>
      </c>
      <c r="H9" s="10">
        <v>58.199999999999996</v>
      </c>
      <c r="I9" s="10">
        <v>18.34</v>
      </c>
      <c r="J9" s="10">
        <v>22.81</v>
      </c>
      <c r="K9" s="10">
        <v>34.86</v>
      </c>
      <c r="L9" s="10">
        <v>10.87</v>
      </c>
      <c r="M9" s="10">
        <v>20.38</v>
      </c>
      <c r="N9" s="10">
        <v>37.230000000000004</v>
      </c>
      <c r="O9" s="10">
        <v>34.21</v>
      </c>
      <c r="P9" s="10">
        <v>63.69</v>
      </c>
      <c r="Q9" s="10">
        <v>119.95000000000002</v>
      </c>
      <c r="R9" s="10">
        <v>221.11999999999998</v>
      </c>
      <c r="S9" s="10">
        <v>64.599999999999994</v>
      </c>
      <c r="T9" s="10">
        <v>16.39</v>
      </c>
      <c r="U9" s="10">
        <v>6.77</v>
      </c>
      <c r="V9" s="10">
        <v>15.3</v>
      </c>
      <c r="W9" s="10"/>
      <c r="X9" s="10"/>
      <c r="Y9" s="10">
        <v>1809.4900000000002</v>
      </c>
      <c r="Z9" s="19">
        <f t="shared" si="0"/>
        <v>4.1892985346056032E-2</v>
      </c>
    </row>
    <row r="10" spans="1:26" x14ac:dyDescent="0.25">
      <c r="A10" s="6" t="s">
        <v>11</v>
      </c>
      <c r="B10" s="10">
        <v>117.64</v>
      </c>
      <c r="C10" s="10">
        <v>15.8</v>
      </c>
      <c r="D10" s="10"/>
      <c r="E10" s="10">
        <v>5.09</v>
      </c>
      <c r="F10" s="10">
        <v>8.7799999999999994</v>
      </c>
      <c r="G10" s="10">
        <v>10.59</v>
      </c>
      <c r="H10" s="10">
        <v>7.08</v>
      </c>
      <c r="I10" s="10">
        <v>1.51</v>
      </c>
      <c r="J10" s="10"/>
      <c r="K10" s="10"/>
      <c r="L10" s="10"/>
      <c r="M10" s="10"/>
      <c r="N10" s="10">
        <v>1.98</v>
      </c>
      <c r="O10" s="10">
        <v>6.77</v>
      </c>
      <c r="P10" s="10"/>
      <c r="Q10" s="10">
        <v>2.76</v>
      </c>
      <c r="R10" s="10">
        <v>1.44</v>
      </c>
      <c r="S10" s="10">
        <v>9.1199999999999992</v>
      </c>
      <c r="T10" s="10"/>
      <c r="U10" s="10">
        <v>7.94</v>
      </c>
      <c r="V10" s="10"/>
      <c r="W10" s="10"/>
      <c r="X10" s="10"/>
      <c r="Y10" s="10">
        <v>196.5</v>
      </c>
      <c r="Z10" s="19">
        <f t="shared" si="0"/>
        <v>4.5493324751725676E-3</v>
      </c>
    </row>
    <row r="11" spans="1:26" x14ac:dyDescent="0.25">
      <c r="A11" s="6" t="s">
        <v>12</v>
      </c>
      <c r="B11" s="10">
        <v>50.940000000000005</v>
      </c>
      <c r="C11" s="10">
        <v>31.73</v>
      </c>
      <c r="D11" s="10"/>
      <c r="E11" s="10">
        <v>20.38</v>
      </c>
      <c r="F11" s="10">
        <v>20.62</v>
      </c>
      <c r="G11" s="10">
        <v>5.3800000000000008</v>
      </c>
      <c r="H11" s="10">
        <v>7.91</v>
      </c>
      <c r="I11" s="10">
        <v>23.22</v>
      </c>
      <c r="J11" s="10">
        <v>20.47</v>
      </c>
      <c r="K11" s="10">
        <v>4.07</v>
      </c>
      <c r="L11" s="10">
        <v>25.35</v>
      </c>
      <c r="M11" s="10"/>
      <c r="N11" s="10">
        <v>3.49</v>
      </c>
      <c r="O11" s="10">
        <v>4.25</v>
      </c>
      <c r="P11" s="10"/>
      <c r="Q11" s="10">
        <v>4.62</v>
      </c>
      <c r="R11" s="10"/>
      <c r="S11" s="10">
        <v>7.03</v>
      </c>
      <c r="T11" s="10">
        <v>12.7</v>
      </c>
      <c r="U11" s="10"/>
      <c r="V11" s="10"/>
      <c r="W11" s="10"/>
      <c r="X11" s="10"/>
      <c r="Y11" s="10">
        <v>242.16000000000003</v>
      </c>
      <c r="Z11" s="19">
        <f t="shared" si="0"/>
        <v>5.6064445403958734E-3</v>
      </c>
    </row>
    <row r="12" spans="1:26" x14ac:dyDescent="0.25">
      <c r="A12" s="14" t="s">
        <v>14</v>
      </c>
      <c r="B12" s="40">
        <f>SUM(B13:B15)</f>
        <v>15603.279999999999</v>
      </c>
      <c r="C12" s="40">
        <f t="shared" ref="C12:Y12" si="1">SUM(C13:C15)</f>
        <v>4613.119999999999</v>
      </c>
      <c r="D12" s="40">
        <f t="shared" si="1"/>
        <v>1194.31</v>
      </c>
      <c r="E12" s="40">
        <f t="shared" si="1"/>
        <v>1243.1199999999999</v>
      </c>
      <c r="F12" s="40">
        <f t="shared" si="1"/>
        <v>1078.9099999999999</v>
      </c>
      <c r="G12" s="40">
        <f t="shared" si="1"/>
        <v>1505.5500000000002</v>
      </c>
      <c r="H12" s="40">
        <f t="shared" si="1"/>
        <v>1313.9599999999998</v>
      </c>
      <c r="I12" s="40">
        <f t="shared" si="1"/>
        <v>438</v>
      </c>
      <c r="J12" s="40">
        <f t="shared" si="1"/>
        <v>664.57999999999993</v>
      </c>
      <c r="K12" s="40">
        <f t="shared" si="1"/>
        <v>458.93</v>
      </c>
      <c r="L12" s="40">
        <f t="shared" si="1"/>
        <v>575.49</v>
      </c>
      <c r="M12" s="40">
        <f t="shared" si="1"/>
        <v>730.43000000000006</v>
      </c>
      <c r="N12" s="40">
        <f t="shared" si="1"/>
        <v>330.76</v>
      </c>
      <c r="O12" s="40">
        <f t="shared" si="1"/>
        <v>487.62</v>
      </c>
      <c r="P12" s="40">
        <f t="shared" si="1"/>
        <v>450.96999999999997</v>
      </c>
      <c r="Q12" s="40">
        <f t="shared" si="1"/>
        <v>560.44000000000005</v>
      </c>
      <c r="R12" s="40">
        <f t="shared" si="1"/>
        <v>819.03</v>
      </c>
      <c r="S12" s="40">
        <f t="shared" si="1"/>
        <v>472.68</v>
      </c>
      <c r="T12" s="40">
        <f t="shared" si="1"/>
        <v>329.41999999999996</v>
      </c>
      <c r="U12" s="40">
        <f t="shared" si="1"/>
        <v>286.12</v>
      </c>
      <c r="V12" s="40">
        <f t="shared" si="1"/>
        <v>170.94</v>
      </c>
      <c r="W12" s="40">
        <f t="shared" si="1"/>
        <v>75.92</v>
      </c>
      <c r="X12" s="40">
        <f t="shared" si="1"/>
        <v>128.58999999999997</v>
      </c>
      <c r="Y12" s="40">
        <f t="shared" si="1"/>
        <v>33532.17</v>
      </c>
      <c r="Z12" s="66">
        <f t="shared" si="0"/>
        <v>0.77633073762853599</v>
      </c>
    </row>
    <row r="13" spans="1:26" x14ac:dyDescent="0.25">
      <c r="A13" s="6" t="s">
        <v>15</v>
      </c>
      <c r="B13" s="10">
        <v>487.98000000000019</v>
      </c>
      <c r="C13" s="10">
        <v>124.79999999999997</v>
      </c>
      <c r="D13" s="10">
        <v>11.48</v>
      </c>
      <c r="E13" s="10">
        <v>35.989999999999995</v>
      </c>
      <c r="F13" s="10">
        <v>28.33</v>
      </c>
      <c r="G13" s="10">
        <v>50.959999999999994</v>
      </c>
      <c r="H13" s="10">
        <v>120.53999999999999</v>
      </c>
      <c r="I13" s="10">
        <v>55.849999999999994</v>
      </c>
      <c r="J13" s="10">
        <v>16.559999999999999</v>
      </c>
      <c r="K13" s="10">
        <v>80.37</v>
      </c>
      <c r="L13" s="10">
        <v>36.800000000000004</v>
      </c>
      <c r="M13" s="10">
        <v>218.25999999999996</v>
      </c>
      <c r="N13" s="10">
        <v>34.339999999999996</v>
      </c>
      <c r="O13" s="10">
        <v>172.91999999999996</v>
      </c>
      <c r="P13" s="10">
        <v>126.60000000000001</v>
      </c>
      <c r="Q13" s="10">
        <v>65.08</v>
      </c>
      <c r="R13" s="10">
        <v>185.41000000000003</v>
      </c>
      <c r="S13" s="10">
        <v>95.810000000000016</v>
      </c>
      <c r="T13" s="10">
        <v>26.689999999999998</v>
      </c>
      <c r="U13" s="10">
        <v>8.2199999999999989</v>
      </c>
      <c r="V13" s="10">
        <v>16.05</v>
      </c>
      <c r="W13" s="10"/>
      <c r="X13" s="10">
        <v>4.9899999999999993</v>
      </c>
      <c r="Y13" s="10">
        <v>2004.0300000000002</v>
      </c>
      <c r="Z13" s="19">
        <f t="shared" si="0"/>
        <v>4.6396940255572935E-2</v>
      </c>
    </row>
    <row r="14" spans="1:26" x14ac:dyDescent="0.25">
      <c r="A14" s="6" t="s">
        <v>16</v>
      </c>
      <c r="B14" s="10">
        <v>8567.8900000000012</v>
      </c>
      <c r="C14" s="10">
        <v>2796.99</v>
      </c>
      <c r="D14" s="10">
        <v>628.65</v>
      </c>
      <c r="E14" s="10">
        <v>633.13</v>
      </c>
      <c r="F14" s="10">
        <v>463</v>
      </c>
      <c r="G14" s="10">
        <v>710.18000000000006</v>
      </c>
      <c r="H14" s="10">
        <v>590.86</v>
      </c>
      <c r="I14" s="10">
        <v>134.32</v>
      </c>
      <c r="J14" s="10">
        <v>345.63</v>
      </c>
      <c r="K14" s="10">
        <v>139.72</v>
      </c>
      <c r="L14" s="10">
        <v>220.25</v>
      </c>
      <c r="M14" s="10">
        <v>241.63000000000002</v>
      </c>
      <c r="N14" s="10">
        <v>96.61999999999999</v>
      </c>
      <c r="O14" s="10">
        <v>116.22</v>
      </c>
      <c r="P14" s="10">
        <v>122.96999999999997</v>
      </c>
      <c r="Q14" s="10">
        <v>176.89999999999998</v>
      </c>
      <c r="R14" s="10">
        <v>283.43000000000006</v>
      </c>
      <c r="S14" s="10">
        <v>143.97999999999999</v>
      </c>
      <c r="T14" s="10">
        <v>144.13</v>
      </c>
      <c r="U14" s="10">
        <v>122.5</v>
      </c>
      <c r="V14" s="10">
        <v>75.34</v>
      </c>
      <c r="W14" s="10">
        <v>41.980000000000004</v>
      </c>
      <c r="X14" s="10">
        <v>54.82</v>
      </c>
      <c r="Y14" s="10">
        <v>16851.14</v>
      </c>
      <c r="Z14" s="19">
        <f t="shared" si="0"/>
        <v>0.39013454679735093</v>
      </c>
    </row>
    <row r="15" spans="1:26" x14ac:dyDescent="0.25">
      <c r="A15" s="6" t="s">
        <v>17</v>
      </c>
      <c r="B15" s="10">
        <v>6547.409999999998</v>
      </c>
      <c r="C15" s="10">
        <v>1691.3299999999995</v>
      </c>
      <c r="D15" s="10">
        <v>554.17999999999995</v>
      </c>
      <c r="E15" s="10">
        <v>574</v>
      </c>
      <c r="F15" s="10">
        <v>587.57999999999993</v>
      </c>
      <c r="G15" s="10">
        <v>744.41</v>
      </c>
      <c r="H15" s="10">
        <v>602.55999999999983</v>
      </c>
      <c r="I15" s="10">
        <v>247.83000000000004</v>
      </c>
      <c r="J15" s="10">
        <v>302.38999999999993</v>
      </c>
      <c r="K15" s="10">
        <v>238.84</v>
      </c>
      <c r="L15" s="10">
        <v>318.43999999999994</v>
      </c>
      <c r="M15" s="10">
        <v>270.54000000000002</v>
      </c>
      <c r="N15" s="10">
        <v>199.79999999999998</v>
      </c>
      <c r="O15" s="10">
        <v>198.48000000000002</v>
      </c>
      <c r="P15" s="10">
        <v>201.39999999999998</v>
      </c>
      <c r="Q15" s="10">
        <v>318.46000000000004</v>
      </c>
      <c r="R15" s="10">
        <v>350.18999999999994</v>
      </c>
      <c r="S15" s="10">
        <v>232.89</v>
      </c>
      <c r="T15" s="10">
        <v>158.59999999999997</v>
      </c>
      <c r="U15" s="10">
        <v>155.4</v>
      </c>
      <c r="V15" s="10">
        <v>79.549999999999983</v>
      </c>
      <c r="W15" s="10">
        <v>33.94</v>
      </c>
      <c r="X15" s="10">
        <v>68.779999999999987</v>
      </c>
      <c r="Y15" s="10">
        <v>14676.999999999998</v>
      </c>
      <c r="Z15" s="19">
        <f t="shared" si="0"/>
        <v>0.33979925057561206</v>
      </c>
    </row>
    <row r="16" spans="1:26" x14ac:dyDescent="0.25">
      <c r="A16" s="14" t="s">
        <v>19</v>
      </c>
      <c r="B16" s="40">
        <f>SUM(B17:B18)</f>
        <v>2217.6399999999994</v>
      </c>
      <c r="C16" s="40">
        <f t="shared" ref="C16:Y16" si="2">SUM(C17:C18)</f>
        <v>886.41</v>
      </c>
      <c r="D16" s="40">
        <f t="shared" si="2"/>
        <v>316.99</v>
      </c>
      <c r="E16" s="40">
        <f t="shared" si="2"/>
        <v>425.02</v>
      </c>
      <c r="F16" s="40">
        <f t="shared" si="2"/>
        <v>344.94</v>
      </c>
      <c r="G16" s="40">
        <f t="shared" si="2"/>
        <v>280.86</v>
      </c>
      <c r="H16" s="40">
        <f t="shared" si="2"/>
        <v>261.49</v>
      </c>
      <c r="I16" s="40">
        <f t="shared" si="2"/>
        <v>70.040000000000006</v>
      </c>
      <c r="J16" s="40">
        <f t="shared" si="2"/>
        <v>44.600000000000009</v>
      </c>
      <c r="K16" s="40">
        <f t="shared" si="2"/>
        <v>53.66</v>
      </c>
      <c r="L16" s="40">
        <f t="shared" si="2"/>
        <v>44.21</v>
      </c>
      <c r="M16" s="40">
        <f t="shared" si="2"/>
        <v>113.36999999999999</v>
      </c>
      <c r="N16" s="40">
        <f t="shared" si="2"/>
        <v>33.54</v>
      </c>
      <c r="O16" s="40">
        <f t="shared" si="2"/>
        <v>36.81</v>
      </c>
      <c r="P16" s="40">
        <f t="shared" si="2"/>
        <v>52.239999999999995</v>
      </c>
      <c r="Q16" s="40">
        <f t="shared" si="2"/>
        <v>66.789999999999992</v>
      </c>
      <c r="R16" s="40">
        <f t="shared" si="2"/>
        <v>60.109999999999992</v>
      </c>
      <c r="S16" s="40">
        <f t="shared" si="2"/>
        <v>134.92000000000002</v>
      </c>
      <c r="T16" s="40">
        <f t="shared" si="2"/>
        <v>49.58</v>
      </c>
      <c r="U16" s="40">
        <f t="shared" si="2"/>
        <v>35.409999999999997</v>
      </c>
      <c r="V16" s="40">
        <f t="shared" si="2"/>
        <v>35.959999999999994</v>
      </c>
      <c r="W16" s="40">
        <f t="shared" si="2"/>
        <v>12.32</v>
      </c>
      <c r="X16" s="40">
        <f t="shared" si="2"/>
        <v>0.16</v>
      </c>
      <c r="Y16" s="40">
        <f t="shared" si="2"/>
        <v>5577.0699999999979</v>
      </c>
      <c r="Z16" s="66">
        <f t="shared" si="0"/>
        <v>0.12911931637308224</v>
      </c>
    </row>
    <row r="17" spans="1:26" x14ac:dyDescent="0.25">
      <c r="A17" s="6" t="s">
        <v>20</v>
      </c>
      <c r="B17" s="10"/>
      <c r="C17" s="10"/>
      <c r="D17" s="10"/>
      <c r="E17" s="10">
        <v>1.1399999999999999</v>
      </c>
      <c r="F17" s="10"/>
      <c r="G17" s="10">
        <v>0.04</v>
      </c>
      <c r="H17" s="10"/>
      <c r="I17" s="10"/>
      <c r="J17" s="10"/>
      <c r="K17" s="10"/>
      <c r="L17" s="10"/>
      <c r="M17" s="10"/>
      <c r="N17" s="10">
        <v>0.01</v>
      </c>
      <c r="O17" s="10">
        <v>0.34</v>
      </c>
      <c r="P17" s="10"/>
      <c r="Q17" s="10">
        <v>7.0000000000000007E-2</v>
      </c>
      <c r="R17" s="10">
        <v>0.01</v>
      </c>
      <c r="S17" s="10"/>
      <c r="T17" s="10"/>
      <c r="U17" s="10"/>
      <c r="V17" s="10"/>
      <c r="W17" s="10"/>
      <c r="X17" s="10"/>
      <c r="Y17" s="10">
        <v>1.61</v>
      </c>
      <c r="Z17" s="19">
        <f t="shared" si="0"/>
        <v>3.727442893143936E-5</v>
      </c>
    </row>
    <row r="18" spans="1:26" x14ac:dyDescent="0.25">
      <c r="A18" s="6" t="s">
        <v>22</v>
      </c>
      <c r="B18" s="10">
        <v>2217.6399999999994</v>
      </c>
      <c r="C18" s="10">
        <v>886.41</v>
      </c>
      <c r="D18" s="10">
        <v>316.99</v>
      </c>
      <c r="E18" s="10">
        <v>423.88</v>
      </c>
      <c r="F18" s="10">
        <v>344.94</v>
      </c>
      <c r="G18" s="10">
        <v>280.82</v>
      </c>
      <c r="H18" s="10">
        <v>261.49</v>
      </c>
      <c r="I18" s="10">
        <v>70.040000000000006</v>
      </c>
      <c r="J18" s="10">
        <v>44.600000000000009</v>
      </c>
      <c r="K18" s="10">
        <v>53.66</v>
      </c>
      <c r="L18" s="10">
        <v>44.21</v>
      </c>
      <c r="M18" s="10">
        <v>113.36999999999999</v>
      </c>
      <c r="N18" s="10">
        <v>33.53</v>
      </c>
      <c r="O18" s="10">
        <v>36.47</v>
      </c>
      <c r="P18" s="10">
        <v>52.239999999999995</v>
      </c>
      <c r="Q18" s="10">
        <v>66.72</v>
      </c>
      <c r="R18" s="10">
        <v>60.099999999999994</v>
      </c>
      <c r="S18" s="10">
        <v>134.92000000000002</v>
      </c>
      <c r="T18" s="10">
        <v>49.58</v>
      </c>
      <c r="U18" s="10">
        <v>35.409999999999997</v>
      </c>
      <c r="V18" s="10">
        <v>35.959999999999994</v>
      </c>
      <c r="W18" s="10">
        <v>12.32</v>
      </c>
      <c r="X18" s="10">
        <v>0.16</v>
      </c>
      <c r="Y18" s="10">
        <v>5575.4599999999982</v>
      </c>
      <c r="Z18" s="19">
        <f t="shared" si="0"/>
        <v>0.12908204194415082</v>
      </c>
    </row>
    <row r="19" spans="1:26" x14ac:dyDescent="0.25">
      <c r="A19" s="14" t="s">
        <v>23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>
        <v>0.1</v>
      </c>
      <c r="V19" s="40"/>
      <c r="W19" s="40"/>
      <c r="X19" s="40"/>
      <c r="Y19" s="40">
        <v>0.1</v>
      </c>
      <c r="Z19" s="66">
        <f t="shared" si="0"/>
        <v>2.3151819212074136E-6</v>
      </c>
    </row>
    <row r="20" spans="1:26" x14ac:dyDescent="0.25">
      <c r="A20" s="6" t="s">
        <v>25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0.1</v>
      </c>
      <c r="V20" s="10"/>
      <c r="W20" s="10"/>
      <c r="X20" s="10"/>
      <c r="Y20" s="10">
        <v>0.1</v>
      </c>
      <c r="Z20" s="19">
        <f t="shared" si="0"/>
        <v>2.3151819212074136E-6</v>
      </c>
    </row>
    <row r="21" spans="1:26" x14ac:dyDescent="0.25">
      <c r="A21" s="14" t="s">
        <v>28</v>
      </c>
      <c r="B21" s="40">
        <v>12.11</v>
      </c>
      <c r="C21" s="40"/>
      <c r="D21" s="40">
        <v>2.75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>
        <v>4.8600000000000003</v>
      </c>
      <c r="Q21" s="40"/>
      <c r="R21" s="40"/>
      <c r="S21" s="40"/>
      <c r="T21" s="40">
        <v>0.34</v>
      </c>
      <c r="U21" s="40"/>
      <c r="V21" s="40"/>
      <c r="W21" s="40"/>
      <c r="X21" s="40"/>
      <c r="Y21" s="40">
        <v>20.059999999999999</v>
      </c>
      <c r="Z21" s="66">
        <f t="shared" si="0"/>
        <v>4.6442549339420714E-4</v>
      </c>
    </row>
    <row r="22" spans="1:26" x14ac:dyDescent="0.25">
      <c r="A22" s="6" t="s">
        <v>28</v>
      </c>
      <c r="B22" s="10">
        <v>12.11</v>
      </c>
      <c r="C22" s="10"/>
      <c r="D22" s="10">
        <v>2.75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>
        <v>4.8600000000000003</v>
      </c>
      <c r="Q22" s="10"/>
      <c r="R22" s="10"/>
      <c r="S22" s="10"/>
      <c r="T22" s="10">
        <v>0.34</v>
      </c>
      <c r="U22" s="10"/>
      <c r="V22" s="10"/>
      <c r="W22" s="10"/>
      <c r="X22" s="10"/>
      <c r="Y22" s="10">
        <v>20.059999999999999</v>
      </c>
      <c r="Z22" s="19">
        <f t="shared" si="0"/>
        <v>4.6442549339420714E-4</v>
      </c>
    </row>
    <row r="23" spans="1:26" x14ac:dyDescent="0.25">
      <c r="A23" s="14" t="s">
        <v>32</v>
      </c>
      <c r="B23" s="40">
        <v>252.96999999999997</v>
      </c>
      <c r="C23" s="40">
        <v>88.210000000000008</v>
      </c>
      <c r="D23" s="40">
        <v>55.720000000000006</v>
      </c>
      <c r="E23" s="40">
        <v>51.489999999999995</v>
      </c>
      <c r="F23" s="40">
        <v>60.94</v>
      </c>
      <c r="G23" s="40">
        <v>56.900000000000006</v>
      </c>
      <c r="H23" s="40">
        <v>57.129999999999995</v>
      </c>
      <c r="I23" s="40">
        <v>30.23</v>
      </c>
      <c r="J23" s="40">
        <v>2.77</v>
      </c>
      <c r="K23" s="40">
        <v>28.1</v>
      </c>
      <c r="L23" s="40">
        <v>34.130000000000003</v>
      </c>
      <c r="M23" s="40">
        <v>57.25</v>
      </c>
      <c r="N23" s="40">
        <v>86.320000000000007</v>
      </c>
      <c r="O23" s="40">
        <v>76.660000000000011</v>
      </c>
      <c r="P23" s="40">
        <v>72.039999999999992</v>
      </c>
      <c r="Q23" s="40">
        <v>57.100000000000009</v>
      </c>
      <c r="R23" s="40">
        <v>164.52</v>
      </c>
      <c r="S23" s="40">
        <v>161.35000000000002</v>
      </c>
      <c r="T23" s="40">
        <v>68.36</v>
      </c>
      <c r="U23" s="40">
        <v>37.61</v>
      </c>
      <c r="V23" s="40">
        <v>16.580000000000002</v>
      </c>
      <c r="W23" s="40">
        <v>18.809999999999999</v>
      </c>
      <c r="X23" s="40">
        <v>37.49</v>
      </c>
      <c r="Y23" s="40">
        <v>1572.6799999999998</v>
      </c>
      <c r="Z23" s="66">
        <f t="shared" si="0"/>
        <v>3.6410403038444748E-2</v>
      </c>
    </row>
    <row r="24" spans="1:26" x14ac:dyDescent="0.25">
      <c r="A24" s="6" t="s">
        <v>32</v>
      </c>
      <c r="B24" s="10">
        <v>252.96999999999997</v>
      </c>
      <c r="C24" s="10">
        <v>88.210000000000008</v>
      </c>
      <c r="D24" s="10">
        <v>55.720000000000006</v>
      </c>
      <c r="E24" s="10">
        <v>51.489999999999995</v>
      </c>
      <c r="F24" s="10">
        <v>60.94</v>
      </c>
      <c r="G24" s="10">
        <v>56.900000000000006</v>
      </c>
      <c r="H24" s="10">
        <v>57.129999999999995</v>
      </c>
      <c r="I24" s="10">
        <v>30.23</v>
      </c>
      <c r="J24" s="10">
        <v>2.77</v>
      </c>
      <c r="K24" s="10">
        <v>28.1</v>
      </c>
      <c r="L24" s="10">
        <v>34.130000000000003</v>
      </c>
      <c r="M24" s="10">
        <v>57.25</v>
      </c>
      <c r="N24" s="10">
        <v>86.320000000000007</v>
      </c>
      <c r="O24" s="10">
        <v>76.660000000000011</v>
      </c>
      <c r="P24" s="10">
        <v>72.039999999999992</v>
      </c>
      <c r="Q24" s="10">
        <v>57.100000000000009</v>
      </c>
      <c r="R24" s="10">
        <v>164.52</v>
      </c>
      <c r="S24" s="10">
        <v>161.35000000000002</v>
      </c>
      <c r="T24" s="10">
        <v>68.36</v>
      </c>
      <c r="U24" s="10">
        <v>37.61</v>
      </c>
      <c r="V24" s="10">
        <v>16.580000000000002</v>
      </c>
      <c r="W24" s="10">
        <v>18.809999999999999</v>
      </c>
      <c r="X24" s="10">
        <v>37.49</v>
      </c>
      <c r="Y24" s="10">
        <v>1572.6799999999998</v>
      </c>
      <c r="Z24" s="19">
        <f t="shared" si="0"/>
        <v>3.6410403038444748E-2</v>
      </c>
    </row>
    <row r="25" spans="1:26" x14ac:dyDescent="0.25">
      <c r="A25" s="39" t="s">
        <v>33</v>
      </c>
      <c r="B25" s="41">
        <v>18910.300000000007</v>
      </c>
      <c r="C25" s="41">
        <v>5784.94</v>
      </c>
      <c r="D25" s="41">
        <v>1708.74</v>
      </c>
      <c r="E25" s="41">
        <v>1918.1100000000001</v>
      </c>
      <c r="F25" s="41">
        <v>1545.79</v>
      </c>
      <c r="G25" s="41">
        <v>1912.2199999999998</v>
      </c>
      <c r="H25" s="41">
        <v>1725.38</v>
      </c>
      <c r="I25" s="41">
        <v>581.33999999999992</v>
      </c>
      <c r="J25" s="41">
        <v>756.69999999999993</v>
      </c>
      <c r="K25" s="41">
        <v>579.62</v>
      </c>
      <c r="L25" s="41">
        <v>690.19</v>
      </c>
      <c r="M25" s="41">
        <v>928.06</v>
      </c>
      <c r="N25" s="41">
        <v>517.32999999999993</v>
      </c>
      <c r="O25" s="41">
        <v>654.15</v>
      </c>
      <c r="P25" s="41">
        <v>645.84999999999991</v>
      </c>
      <c r="Q25" s="41">
        <v>826.23000000000013</v>
      </c>
      <c r="R25" s="41">
        <v>1272.22</v>
      </c>
      <c r="S25" s="41">
        <v>865.99000000000012</v>
      </c>
      <c r="T25" s="41">
        <v>477.83999999999992</v>
      </c>
      <c r="U25" s="41">
        <v>379.37</v>
      </c>
      <c r="V25" s="41">
        <v>239.49</v>
      </c>
      <c r="W25" s="41">
        <v>107.05000000000001</v>
      </c>
      <c r="X25" s="41">
        <v>166.24</v>
      </c>
      <c r="Y25" s="41">
        <v>43193.15</v>
      </c>
      <c r="Z25" s="64">
        <f t="shared" si="0"/>
        <v>1</v>
      </c>
    </row>
    <row r="29" spans="1:26" ht="15.75" x14ac:dyDescent="0.25">
      <c r="A29" s="67" t="s">
        <v>56</v>
      </c>
      <c r="B29" s="68" t="s">
        <v>188</v>
      </c>
      <c r="C29" s="68">
        <v>2000</v>
      </c>
      <c r="D29" s="68">
        <v>2001</v>
      </c>
      <c r="E29" s="68">
        <v>2002</v>
      </c>
      <c r="F29" s="68">
        <v>2003</v>
      </c>
      <c r="G29" s="68">
        <v>2004</v>
      </c>
      <c r="H29" s="68">
        <v>2005</v>
      </c>
      <c r="I29" s="68">
        <v>2006</v>
      </c>
      <c r="J29" s="68">
        <v>2007</v>
      </c>
      <c r="K29" s="68">
        <v>2008</v>
      </c>
      <c r="L29" s="68">
        <v>2009</v>
      </c>
      <c r="M29" s="68">
        <v>2010</v>
      </c>
      <c r="N29" s="68">
        <v>2011</v>
      </c>
      <c r="O29" s="68">
        <v>2012</v>
      </c>
      <c r="P29" s="68">
        <v>2013</v>
      </c>
      <c r="Q29" s="68">
        <v>2014</v>
      </c>
      <c r="R29" s="68">
        <v>2015</v>
      </c>
      <c r="S29" s="68">
        <v>2016</v>
      </c>
      <c r="T29" s="68">
        <v>2017</v>
      </c>
      <c r="U29" s="68">
        <v>2018</v>
      </c>
      <c r="V29" s="68">
        <v>2019</v>
      </c>
      <c r="W29" s="68">
        <v>2020</v>
      </c>
      <c r="X29" s="69" t="s">
        <v>53</v>
      </c>
    </row>
    <row r="30" spans="1:26" x14ac:dyDescent="0.25">
      <c r="A30" s="7" t="s">
        <v>4</v>
      </c>
      <c r="B30" s="19">
        <f>B4/$Y$4</f>
        <v>0.33090198187927278</v>
      </c>
      <c r="C30" s="19">
        <f t="shared" ref="C30:W30" si="3">C4/$Y$4</f>
        <v>7.9162769412340878E-2</v>
      </c>
      <c r="D30" s="19">
        <f t="shared" si="3"/>
        <v>5.5787272136070036E-2</v>
      </c>
      <c r="E30" s="19">
        <f t="shared" si="3"/>
        <v>7.9676604832461556E-2</v>
      </c>
      <c r="F30" s="19">
        <f t="shared" si="3"/>
        <v>2.4487469240125726E-2</v>
      </c>
      <c r="G30" s="19">
        <f t="shared" si="3"/>
        <v>2.7662811562902685E-2</v>
      </c>
      <c r="H30" s="19">
        <f t="shared" si="3"/>
        <v>3.7253067958748644E-2</v>
      </c>
      <c r="I30" s="19">
        <f t="shared" si="3"/>
        <v>1.728975901921664E-2</v>
      </c>
      <c r="J30" s="19">
        <f t="shared" si="3"/>
        <v>1.7964168008125021E-2</v>
      </c>
      <c r="K30" s="19">
        <f t="shared" si="3"/>
        <v>1.5627822582263844E-2</v>
      </c>
      <c r="L30" s="19">
        <f t="shared" si="3"/>
        <v>1.4596137402802811E-2</v>
      </c>
      <c r="M30" s="19">
        <f t="shared" si="3"/>
        <v>1.0842730232390095E-2</v>
      </c>
      <c r="N30" s="19">
        <f t="shared" si="3"/>
        <v>2.6779656934570288E-2</v>
      </c>
      <c r="O30" s="19">
        <f t="shared" si="3"/>
        <v>2.1300083899689692E-2</v>
      </c>
      <c r="P30" s="19">
        <f t="shared" si="3"/>
        <v>2.6390266030260085E-2</v>
      </c>
      <c r="Q30" s="19">
        <f t="shared" si="3"/>
        <v>5.6963473527440016E-2</v>
      </c>
      <c r="R30" s="19">
        <f t="shared" si="3"/>
        <v>9.1751737205297307E-2</v>
      </c>
      <c r="S30" s="19">
        <f t="shared" si="3"/>
        <v>3.8955147787898367E-2</v>
      </c>
      <c r="T30" s="19">
        <f t="shared" si="3"/>
        <v>1.2099218408153926E-2</v>
      </c>
      <c r="U30" s="19">
        <f t="shared" si="3"/>
        <v>8.0808648492414897E-3</v>
      </c>
      <c r="V30" s="19">
        <f t="shared" si="3"/>
        <v>6.4269570907280809E-3</v>
      </c>
      <c r="W30" s="19">
        <f t="shared" si="3"/>
        <v>0</v>
      </c>
      <c r="X30" s="107">
        <f>X4/Y4</f>
        <v>0</v>
      </c>
    </row>
    <row r="31" spans="1:26" x14ac:dyDescent="0.25">
      <c r="A31" s="7" t="s">
        <v>14</v>
      </c>
      <c r="B31" s="19">
        <f>B12/$Y$12</f>
        <v>0.46532270354110694</v>
      </c>
      <c r="C31" s="19">
        <f t="shared" ref="C31:W31" si="4">C12/$Y$12</f>
        <v>0.13757296351533466</v>
      </c>
      <c r="D31" s="19">
        <f t="shared" si="4"/>
        <v>3.5616841975929382E-2</v>
      </c>
      <c r="E31" s="19">
        <f t="shared" si="4"/>
        <v>3.7072459074375438E-2</v>
      </c>
      <c r="F31" s="19">
        <f t="shared" si="4"/>
        <v>3.2175370696259739E-2</v>
      </c>
      <c r="G31" s="19">
        <f t="shared" si="4"/>
        <v>4.4898674914268903E-2</v>
      </c>
      <c r="H31" s="19">
        <f t="shared" si="4"/>
        <v>3.9185057215205571E-2</v>
      </c>
      <c r="I31" s="19">
        <f t="shared" si="4"/>
        <v>1.306208336651043E-2</v>
      </c>
      <c r="J31" s="19">
        <f t="shared" si="4"/>
        <v>1.9819176629487442E-2</v>
      </c>
      <c r="K31" s="19">
        <f t="shared" si="4"/>
        <v>1.3686260089937514E-2</v>
      </c>
      <c r="L31" s="19">
        <f t="shared" si="4"/>
        <v>1.7162325015052712E-2</v>
      </c>
      <c r="M31" s="19">
        <f t="shared" si="4"/>
        <v>2.1782962450685419E-2</v>
      </c>
      <c r="N31" s="19">
        <f t="shared" si="4"/>
        <v>9.8639604892853637E-3</v>
      </c>
      <c r="O31" s="19">
        <f t="shared" si="4"/>
        <v>1.454185637255209E-2</v>
      </c>
      <c r="P31" s="19">
        <f t="shared" si="4"/>
        <v>1.3448876109121479E-2</v>
      </c>
      <c r="Q31" s="19">
        <f t="shared" si="4"/>
        <v>1.6713502287504806E-2</v>
      </c>
      <c r="R31" s="19">
        <f t="shared" si="4"/>
        <v>2.4425201232130222E-2</v>
      </c>
      <c r="S31" s="19">
        <f t="shared" si="4"/>
        <v>1.4096314076899886E-2</v>
      </c>
      <c r="T31" s="19">
        <f t="shared" si="4"/>
        <v>9.8239988643741213E-3</v>
      </c>
      <c r="U31" s="19">
        <f t="shared" si="4"/>
        <v>8.5327015817944392E-3</v>
      </c>
      <c r="V31" s="19">
        <f t="shared" si="4"/>
        <v>5.0977911659161939E-3</v>
      </c>
      <c r="W31" s="19">
        <f t="shared" si="4"/>
        <v>2.2640944501951411E-3</v>
      </c>
      <c r="X31" s="138">
        <f>X12/Y12</f>
        <v>3.8348248860720908E-3</v>
      </c>
    </row>
    <row r="32" spans="1:26" x14ac:dyDescent="0.25">
      <c r="A32" s="7" t="s">
        <v>19</v>
      </c>
      <c r="B32" s="19">
        <f>B16/$Y$16</f>
        <v>0.39763531746956737</v>
      </c>
      <c r="C32" s="19">
        <f t="shared" ref="C32:W32" si="5">C16/$Y$16</f>
        <v>0.15893829555662745</v>
      </c>
      <c r="D32" s="19">
        <f t="shared" si="5"/>
        <v>5.6838088817246356E-2</v>
      </c>
      <c r="E32" s="19">
        <f t="shared" si="5"/>
        <v>7.6208475059484665E-2</v>
      </c>
      <c r="F32" s="19">
        <f t="shared" si="5"/>
        <v>6.1849680925647361E-2</v>
      </c>
      <c r="G32" s="19">
        <f t="shared" si="5"/>
        <v>5.0359776728640684E-2</v>
      </c>
      <c r="H32" s="19">
        <f t="shared" si="5"/>
        <v>4.6886626848865104E-2</v>
      </c>
      <c r="I32" s="19">
        <f t="shared" si="5"/>
        <v>1.2558565698476087E-2</v>
      </c>
      <c r="J32" s="19">
        <f t="shared" si="5"/>
        <v>7.9970306989153844E-3</v>
      </c>
      <c r="K32" s="19">
        <f t="shared" si="5"/>
        <v>9.6215396256457281E-3</v>
      </c>
      <c r="L32" s="19">
        <f t="shared" si="5"/>
        <v>7.9271015067051368E-3</v>
      </c>
      <c r="M32" s="19">
        <f t="shared" si="5"/>
        <v>2.0327878258655535E-2</v>
      </c>
      <c r="N32" s="19">
        <f t="shared" si="5"/>
        <v>6.0139105300812097E-3</v>
      </c>
      <c r="O32" s="19">
        <f t="shared" si="5"/>
        <v>6.6002399109209705E-3</v>
      </c>
      <c r="P32" s="19">
        <f t="shared" si="5"/>
        <v>9.3669256437520082E-3</v>
      </c>
      <c r="Q32" s="19">
        <f t="shared" si="5"/>
        <v>1.1975822430057364E-2</v>
      </c>
      <c r="R32" s="19">
        <f t="shared" si="5"/>
        <v>1.0778060881430575E-2</v>
      </c>
      <c r="S32" s="19">
        <f t="shared" si="5"/>
        <v>2.4191914392324296E-2</v>
      </c>
      <c r="T32" s="19">
        <f t="shared" si="5"/>
        <v>8.8899726917539175E-3</v>
      </c>
      <c r="U32" s="19">
        <f t="shared" si="5"/>
        <v>6.3492120414482892E-3</v>
      </c>
      <c r="V32" s="19">
        <f t="shared" si="5"/>
        <v>6.4478301330268412E-3</v>
      </c>
      <c r="W32" s="19">
        <f t="shared" si="5"/>
        <v>2.2090452513595857E-3</v>
      </c>
      <c r="X32" s="90">
        <f>X16/Y16</f>
        <v>2.868889936830631E-5</v>
      </c>
    </row>
    <row r="33" spans="1:24" x14ac:dyDescent="0.25">
      <c r="A33" s="7" t="s">
        <v>23</v>
      </c>
      <c r="B33" s="19">
        <f>B19/$Y$19</f>
        <v>0</v>
      </c>
      <c r="C33" s="19">
        <f t="shared" ref="C33:W33" si="6">C19/$Y$19</f>
        <v>0</v>
      </c>
      <c r="D33" s="19">
        <f t="shared" si="6"/>
        <v>0</v>
      </c>
      <c r="E33" s="19">
        <f t="shared" si="6"/>
        <v>0</v>
      </c>
      <c r="F33" s="19">
        <f t="shared" si="6"/>
        <v>0</v>
      </c>
      <c r="G33" s="19">
        <f t="shared" si="6"/>
        <v>0</v>
      </c>
      <c r="H33" s="19">
        <f t="shared" si="6"/>
        <v>0</v>
      </c>
      <c r="I33" s="19">
        <f t="shared" si="6"/>
        <v>0</v>
      </c>
      <c r="J33" s="19">
        <f t="shared" si="6"/>
        <v>0</v>
      </c>
      <c r="K33" s="19">
        <f t="shared" si="6"/>
        <v>0</v>
      </c>
      <c r="L33" s="19">
        <f t="shared" si="6"/>
        <v>0</v>
      </c>
      <c r="M33" s="19">
        <f t="shared" si="6"/>
        <v>0</v>
      </c>
      <c r="N33" s="19">
        <f t="shared" si="6"/>
        <v>0</v>
      </c>
      <c r="O33" s="19">
        <f t="shared" si="6"/>
        <v>0</v>
      </c>
      <c r="P33" s="19">
        <f t="shared" si="6"/>
        <v>0</v>
      </c>
      <c r="Q33" s="19">
        <f t="shared" si="6"/>
        <v>0</v>
      </c>
      <c r="R33" s="19">
        <f t="shared" si="6"/>
        <v>0</v>
      </c>
      <c r="S33" s="19">
        <f t="shared" si="6"/>
        <v>0</v>
      </c>
      <c r="T33" s="19">
        <f t="shared" si="6"/>
        <v>0</v>
      </c>
      <c r="U33" s="19">
        <f t="shared" si="6"/>
        <v>1</v>
      </c>
      <c r="V33" s="19">
        <f t="shared" si="6"/>
        <v>0</v>
      </c>
      <c r="W33" s="19">
        <f t="shared" si="6"/>
        <v>0</v>
      </c>
      <c r="X33" s="107">
        <f>X19/Y19</f>
        <v>0</v>
      </c>
    </row>
    <row r="34" spans="1:24" x14ac:dyDescent="0.25">
      <c r="A34" s="7" t="s">
        <v>28</v>
      </c>
      <c r="B34" s="19">
        <f>B21/$Y$21</f>
        <v>0.60368893320039885</v>
      </c>
      <c r="C34" s="19">
        <f t="shared" ref="C34:W34" si="7">C21/$Y$21</f>
        <v>0</v>
      </c>
      <c r="D34" s="19">
        <f t="shared" si="7"/>
        <v>0.1370887337986042</v>
      </c>
      <c r="E34" s="19">
        <f t="shared" si="7"/>
        <v>0</v>
      </c>
      <c r="F34" s="19">
        <f t="shared" si="7"/>
        <v>0</v>
      </c>
      <c r="G34" s="19">
        <f t="shared" si="7"/>
        <v>0</v>
      </c>
      <c r="H34" s="19">
        <f t="shared" si="7"/>
        <v>0</v>
      </c>
      <c r="I34" s="19">
        <f t="shared" si="7"/>
        <v>0</v>
      </c>
      <c r="J34" s="19">
        <f t="shared" si="7"/>
        <v>0</v>
      </c>
      <c r="K34" s="19">
        <f t="shared" si="7"/>
        <v>0</v>
      </c>
      <c r="L34" s="19">
        <f t="shared" si="7"/>
        <v>0</v>
      </c>
      <c r="M34" s="19">
        <f t="shared" si="7"/>
        <v>0</v>
      </c>
      <c r="N34" s="19">
        <f t="shared" si="7"/>
        <v>0</v>
      </c>
      <c r="O34" s="19">
        <f t="shared" si="7"/>
        <v>0</v>
      </c>
      <c r="P34" s="19">
        <f t="shared" si="7"/>
        <v>0.24227318045862417</v>
      </c>
      <c r="Q34" s="19">
        <f t="shared" si="7"/>
        <v>0</v>
      </c>
      <c r="R34" s="19">
        <f t="shared" si="7"/>
        <v>0</v>
      </c>
      <c r="S34" s="19">
        <f t="shared" si="7"/>
        <v>0</v>
      </c>
      <c r="T34" s="19">
        <f t="shared" si="7"/>
        <v>1.6949152542372885E-2</v>
      </c>
      <c r="U34" s="19">
        <f t="shared" si="7"/>
        <v>0</v>
      </c>
      <c r="V34" s="19">
        <f t="shared" si="7"/>
        <v>0</v>
      </c>
      <c r="W34" s="19">
        <f t="shared" si="7"/>
        <v>0</v>
      </c>
      <c r="X34" s="107">
        <f>X21/Y21</f>
        <v>0</v>
      </c>
    </row>
    <row r="35" spans="1:24" x14ac:dyDescent="0.25">
      <c r="A35" s="7" t="s">
        <v>32</v>
      </c>
      <c r="B35" s="19">
        <f>B23/$Y$23</f>
        <v>0.16085281176081592</v>
      </c>
      <c r="C35" s="19">
        <f t="shared" ref="C35:W35" si="8">C23/$Y$23</f>
        <v>5.6088969148205624E-2</v>
      </c>
      <c r="D35" s="19">
        <f t="shared" si="8"/>
        <v>3.5429966681079436E-2</v>
      </c>
      <c r="E35" s="19">
        <f t="shared" si="8"/>
        <v>3.2740290459597629E-2</v>
      </c>
      <c r="F35" s="19">
        <f t="shared" si="8"/>
        <v>3.8749141592695276E-2</v>
      </c>
      <c r="G35" s="19">
        <f t="shared" si="8"/>
        <v>3.618027825113819E-2</v>
      </c>
      <c r="H35" s="19">
        <f t="shared" si="8"/>
        <v>3.6326525421573365E-2</v>
      </c>
      <c r="I35" s="19">
        <f t="shared" si="8"/>
        <v>1.9221965053284842E-2</v>
      </c>
      <c r="J35" s="19">
        <f t="shared" si="8"/>
        <v>1.7613246178497853E-3</v>
      </c>
      <c r="K35" s="19">
        <f t="shared" si="8"/>
        <v>1.7867589083602517E-2</v>
      </c>
      <c r="L35" s="19">
        <f t="shared" si="8"/>
        <v>2.1701808378055298E-2</v>
      </c>
      <c r="M35" s="19">
        <f t="shared" si="8"/>
        <v>3.6402828293104768E-2</v>
      </c>
      <c r="N35" s="19">
        <f t="shared" si="8"/>
        <v>5.488719892158609E-2</v>
      </c>
      <c r="O35" s="19">
        <f t="shared" si="8"/>
        <v>4.8744817763308503E-2</v>
      </c>
      <c r="P35" s="19">
        <f t="shared" si="8"/>
        <v>4.5807157209349643E-2</v>
      </c>
      <c r="Q35" s="19">
        <f t="shared" si="8"/>
        <v>3.6307449703690528E-2</v>
      </c>
      <c r="R35" s="19">
        <f t="shared" si="8"/>
        <v>0.10461123686954754</v>
      </c>
      <c r="S35" s="19">
        <f t="shared" si="8"/>
        <v>0.1025955693465931</v>
      </c>
      <c r="T35" s="19">
        <f t="shared" si="8"/>
        <v>4.3467202482386759E-2</v>
      </c>
      <c r="U35" s="19">
        <f t="shared" si="8"/>
        <v>2.3914591652465858E-2</v>
      </c>
      <c r="V35" s="19">
        <f t="shared" si="8"/>
        <v>1.0542513416588246E-2</v>
      </c>
      <c r="W35" s="19">
        <f t="shared" si="8"/>
        <v>1.1960475112546736E-2</v>
      </c>
      <c r="X35" s="138">
        <f>X23/Y23</f>
        <v>2.3838288780934459E-2</v>
      </c>
    </row>
    <row r="36" spans="1:24" x14ac:dyDescent="0.25">
      <c r="A36" s="7" t="s">
        <v>33</v>
      </c>
      <c r="B36" s="19">
        <f>B25/$Y$25</f>
        <v>0.4378078468460857</v>
      </c>
      <c r="C36" s="19">
        <f t="shared" ref="C36:W36" si="9">C25/$Y$25</f>
        <v>0.13393188503269615</v>
      </c>
      <c r="D36" s="19">
        <f t="shared" si="9"/>
        <v>3.9560439560439559E-2</v>
      </c>
      <c r="E36" s="19">
        <f t="shared" si="9"/>
        <v>4.4407735948871527E-2</v>
      </c>
      <c r="F36" s="19">
        <f t="shared" si="9"/>
        <v>3.5787850619832078E-2</v>
      </c>
      <c r="G36" s="19">
        <f t="shared" si="9"/>
        <v>4.42713717337124E-2</v>
      </c>
      <c r="H36" s="19">
        <f t="shared" si="9"/>
        <v>3.9945685832128472E-2</v>
      </c>
      <c r="I36" s="19">
        <f t="shared" si="9"/>
        <v>1.3459078580747177E-2</v>
      </c>
      <c r="J36" s="19">
        <f t="shared" si="9"/>
        <v>1.7518981597776498E-2</v>
      </c>
      <c r="K36" s="19">
        <f t="shared" si="9"/>
        <v>1.341925745170241E-2</v>
      </c>
      <c r="L36" s="19">
        <f t="shared" si="9"/>
        <v>1.597915410198145E-2</v>
      </c>
      <c r="M36" s="19">
        <f t="shared" si="9"/>
        <v>2.1486277337957521E-2</v>
      </c>
      <c r="N36" s="19">
        <f t="shared" si="9"/>
        <v>1.1977130632982311E-2</v>
      </c>
      <c r="O36" s="19">
        <f t="shared" si="9"/>
        <v>1.5144762537578295E-2</v>
      </c>
      <c r="P36" s="19">
        <f t="shared" si="9"/>
        <v>1.4952602438118079E-2</v>
      </c>
      <c r="Q36" s="19">
        <f t="shared" si="9"/>
        <v>1.9128727587592015E-2</v>
      </c>
      <c r="R36" s="19">
        <f t="shared" si="9"/>
        <v>2.9454207437984957E-2</v>
      </c>
      <c r="S36" s="19">
        <f t="shared" si="9"/>
        <v>2.0049243919464083E-2</v>
      </c>
      <c r="T36" s="19">
        <f t="shared" si="9"/>
        <v>1.1062865292297504E-2</v>
      </c>
      <c r="U36" s="19">
        <f t="shared" si="9"/>
        <v>8.7831056544845649E-3</v>
      </c>
      <c r="V36" s="19">
        <f t="shared" si="9"/>
        <v>5.544629183099635E-3</v>
      </c>
      <c r="W36" s="19">
        <f t="shared" si="9"/>
        <v>2.4784022466525367E-3</v>
      </c>
      <c r="X36" s="138">
        <f>X25/Y25</f>
        <v>3.8487584258152046E-3</v>
      </c>
    </row>
  </sheetData>
  <hyperlinks>
    <hyperlink ref="E1" r:id="rId1" location="INDICE!A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INDICE</vt:lpstr>
      <vt:lpstr>Cítricos</vt:lpstr>
      <vt:lpstr>NAR-REPR</vt:lpstr>
      <vt:lpstr>PC-REPR</vt:lpstr>
      <vt:lpstr>LIM-REPR</vt:lpstr>
      <vt:lpstr>POM-REPR</vt:lpstr>
      <vt:lpstr>NAR-EDAD</vt:lpstr>
      <vt:lpstr>PC-EDAD</vt:lpstr>
      <vt:lpstr>CLE-EDAD</vt:lpstr>
      <vt:lpstr>MAN-EDAD</vt:lpstr>
      <vt:lpstr>MH-EDAD</vt:lpstr>
      <vt:lpstr>SAT-EDAD</vt:lpstr>
      <vt:lpstr>LIM-EDAD</vt:lpstr>
      <vt:lpstr>POM-EDAD</vt:lpstr>
      <vt:lpstr>NAR-PEND</vt:lpstr>
      <vt:lpstr>PC-PEND</vt:lpstr>
      <vt:lpstr>CLE-PEND</vt:lpstr>
      <vt:lpstr>MAN-PEND</vt:lpstr>
      <vt:lpstr>MH-PEND</vt:lpstr>
      <vt:lpstr>SAT-PEND</vt:lpstr>
      <vt:lpstr>LIM-PEND</vt:lpstr>
      <vt:lpstr>POM-PEND</vt:lpstr>
      <vt:lpstr>NAR-EXPL</vt:lpstr>
      <vt:lpstr>PC-EXPL</vt:lpstr>
      <vt:lpstr>CLE-EXPL</vt:lpstr>
      <vt:lpstr>MAN-EXPL</vt:lpstr>
      <vt:lpstr>MH-EXPL</vt:lpstr>
      <vt:lpstr>SAT-EXPL</vt:lpstr>
      <vt:lpstr>LIM-EXPL</vt:lpstr>
      <vt:lpstr>POM-EXPL</vt:lpstr>
      <vt:lpstr>NAR-VAR</vt:lpstr>
      <vt:lpstr>PC-VAR</vt:lpstr>
      <vt:lpstr>LIM-VAR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Calzado Gata, Irene</dc:creator>
  <cp:lastModifiedBy>Jimenez Sanchez, Anibal</cp:lastModifiedBy>
  <dcterms:created xsi:type="dcterms:W3CDTF">2021-03-01T09:00:59Z</dcterms:created>
  <dcterms:modified xsi:type="dcterms:W3CDTF">2021-07-09T09:04:27Z</dcterms:modified>
</cp:coreProperties>
</file>