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52" tabRatio="851" activeTab="0"/>
  </bookViews>
  <sheets>
    <sheet name="Cos. maíz" sheetId="1" r:id="rId1"/>
    <sheet name="Metodología" sheetId="2" r:id="rId2"/>
  </sheets>
  <definedNames>
    <definedName name="_xlnm.Print_Area" localSheetId="0">'Cos. maíz'!$A$1:$K$57</definedName>
    <definedName name="_xlnm.Print_Area" localSheetId="1">'Metodología'!$A$1:$A$33</definedName>
  </definedNames>
  <calcPr fullCalcOnLoad="1"/>
</workbook>
</file>

<file path=xl/sharedStrings.xml><?xml version="1.0" encoding="utf-8"?>
<sst xmlns="http://schemas.openxmlformats.org/spreadsheetml/2006/main" count="141" uniqueCount="103">
  <si>
    <t>OPERACIÓN:</t>
  </si>
  <si>
    <t xml:space="preserve">APERO: </t>
  </si>
  <si>
    <t>t/ha</t>
  </si>
  <si>
    <t>Eficiencia de trabajo</t>
  </si>
  <si>
    <t>Pot (kW)</t>
  </si>
  <si>
    <t>Pot (kWh/t)</t>
  </si>
  <si>
    <t>Cp(t/h)</t>
  </si>
  <si>
    <t>Anchura de trabajo</t>
  </si>
  <si>
    <t>m</t>
  </si>
  <si>
    <t>Baja</t>
  </si>
  <si>
    <t>Velocidad de trabajo</t>
  </si>
  <si>
    <t>km/h</t>
  </si>
  <si>
    <t>Media</t>
  </si>
  <si>
    <t>Alta</t>
  </si>
  <si>
    <t>kW</t>
  </si>
  <si>
    <t>CV</t>
  </si>
  <si>
    <t>Nivel de carga de trabajo (%)</t>
  </si>
  <si>
    <t>RESULTADOS MAPA</t>
  </si>
  <si>
    <t>t/h</t>
  </si>
  <si>
    <t>Medio</t>
  </si>
  <si>
    <t>consumos</t>
  </si>
  <si>
    <t>Capacidad trabajo teórica</t>
  </si>
  <si>
    <t>h/ha</t>
  </si>
  <si>
    <t>Alto</t>
  </si>
  <si>
    <t>Eficiencia</t>
  </si>
  <si>
    <t>Capacidad trabajo real</t>
  </si>
  <si>
    <t>Consumo combustible</t>
  </si>
  <si>
    <t>ha/h</t>
  </si>
  <si>
    <t>Carga</t>
  </si>
  <si>
    <t>Factor (L/h-kW)</t>
  </si>
  <si>
    <t>COSTES DE UTILIZACIÓN</t>
  </si>
  <si>
    <t xml:space="preserve">Nivel de carga </t>
  </si>
  <si>
    <t>%</t>
  </si>
  <si>
    <t>Consumo de combustible</t>
  </si>
  <si>
    <t>L/h</t>
  </si>
  <si>
    <t>h/año</t>
  </si>
  <si>
    <t>L/ha</t>
  </si>
  <si>
    <t>Consumo de aceite</t>
  </si>
  <si>
    <t>€/h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</si>
  <si>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</si>
  <si>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</si>
  <si>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</si>
  <si>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</si>
  <si>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</si>
  <si>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</si>
  <si>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</si>
  <si>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</si>
  <si>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</si>
  <si>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</si>
  <si>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</si>
  <si>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</si>
  <si>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</si>
  <si>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</si>
  <si>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</si>
  <si>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</si>
  <si>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</si>
  <si>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ASAE combine, small grains</t>
  </si>
  <si>
    <t>rdto secano</t>
  </si>
  <si>
    <t>9 L/ha</t>
  </si>
  <si>
    <t>rdto regadío</t>
  </si>
  <si>
    <t>15 L/ha</t>
  </si>
  <si>
    <t>Cereal</t>
  </si>
  <si>
    <t>Producción (t/ha)</t>
  </si>
  <si>
    <t>CULTIVO:</t>
  </si>
  <si>
    <t>ASAE combine,corn</t>
  </si>
  <si>
    <t>Anchura cabezal (m)</t>
  </si>
  <si>
    <t>Utilización máquina (h/año)</t>
  </si>
  <si>
    <t>AUXILIAR</t>
  </si>
  <si>
    <t>Coste total s/combustible</t>
  </si>
  <si>
    <t>COSTE TOTAL</t>
  </si>
  <si>
    <t>Los datos de partida son:</t>
  </si>
  <si>
    <t>Las hipótesis establecidas para el cálculo de los costes son las siguientes:</t>
  </si>
  <si>
    <t>Potencia motor (kW)</t>
  </si>
  <si>
    <t xml:space="preserve">Potencia Motor </t>
  </si>
  <si>
    <t>Capacidad de trilla necesaria</t>
  </si>
  <si>
    <t>Potencia minima trilla</t>
  </si>
  <si>
    <t>-          Horas de trabajo anuales: Se han estimado dos rangos diferentes de utilización  de la máquina al año, baja (300 h/año) y alta (1.000 h/año)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</si>
  <si>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</si>
  <si>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</si>
  <si>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</si>
  <si>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Eficiencia de la operación: Baja, media o alta (se recomienda escoger alta para esta operación puesto que es la situación más habitual)</t>
  </si>
  <si>
    <t>-          Anchura del cabezal: Alta (7 m), media (6m) y baja (4 m)</t>
  </si>
  <si>
    <t>€/kW</t>
  </si>
  <si>
    <t>Velocidad max. teórica</t>
  </si>
  <si>
    <t xml:space="preserve">-         Capacidad de trilla necesaria (t/h) calculada en función de la producción </t>
  </si>
  <si>
    <t>-          Velocidad de trabajo: se puede ajustar en intervalos de 0,25 km/h utilizando el cursor. Debe ser inferior a la teórica calculada</t>
  </si>
  <si>
    <t>-          Coste de combustible: 1,00 €/L</t>
  </si>
  <si>
    <t>-          Potencia motor: 240 kW en máquina grande y 190 kW pequeña.</t>
  </si>
  <si>
    <t>Maiz grano</t>
  </si>
  <si>
    <t>Recolección de maíz grano</t>
  </si>
  <si>
    <t>Cosechadora autopropulsada con cabezal para maíz</t>
  </si>
  <si>
    <t>Cosecha de maiz grano</t>
  </si>
  <si>
    <t>-          Producción de grano: Alta (12 t/ha), media (10 t/ha) y baja (8 t/ha)</t>
  </si>
  <si>
    <t>-          Potencia mínima de trilla calculada con 5 kWh/tonelada de grano</t>
  </si>
  <si>
    <t>-          Velocidad máxima teórica calculada en función de la producción y de la potencia del motor asumiendo que el 50% de la disponible se utiliza en el proceso de sieg-trilla-limpia</t>
  </si>
  <si>
    <t>-          Mantenimiento y reparaciones: 12,0 €/ha</t>
  </si>
  <si>
    <t xml:space="preserve">-          Amortización por desgaste: 4 000 h </t>
  </si>
  <si>
    <t>-          Precio de adquisición: Estimado en 900 €/kW potencia motor</t>
  </si>
  <si>
    <t>Muy alto</t>
  </si>
  <si>
    <t>-          Nivel de carga de la máquina: Medio, alto o muy alto (se recomienda poner un nivel alto para esta operación)</t>
  </si>
  <si>
    <t>Utilzación anual</t>
  </si>
  <si>
    <t>ha/año</t>
  </si>
  <si>
    <t>-          Interés: 5 %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</si>
</sst>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0.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22"/>
      <name val="Arial"/>
      <family val="2"/>
    </font>
    <font>
      <sz val="11"/>
      <color indexed="4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0" fontId="0" fillId="34" borderId="0" xfId="0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9" fillId="34" borderId="14" xfId="0" applyFont="1" applyFill="1" applyBorder="1" applyAlignment="1">
      <alignment/>
    </xf>
    <xf numFmtId="164" fontId="6" fillId="33" borderId="11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164" fontId="6" fillId="33" borderId="15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0" fillId="0" borderId="0" xfId="0" applyFont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34" borderId="0" xfId="0" applyFont="1" applyFill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64" fontId="11" fillId="0" borderId="15" xfId="0" applyNumberFormat="1" applyFont="1" applyBorder="1" applyAlignment="1" applyProtection="1">
      <alignment horizontal="center"/>
      <protection hidden="1"/>
    </xf>
    <xf numFmtId="164" fontId="6" fillId="0" borderId="15" xfId="0" applyNumberFormat="1" applyFont="1" applyBorder="1" applyAlignment="1" applyProtection="1">
      <alignment horizontal="center"/>
      <protection hidden="1"/>
    </xf>
    <xf numFmtId="2" fontId="6" fillId="0" borderId="15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Fill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 wrapText="1"/>
    </xf>
    <xf numFmtId="0" fontId="13" fillId="33" borderId="15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7" xfId="0" applyFont="1" applyFill="1" applyBorder="1" applyAlignment="1">
      <alignment/>
    </xf>
    <xf numFmtId="0" fontId="13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2" fontId="11" fillId="33" borderId="20" xfId="0" applyNumberFormat="1" applyFont="1" applyFill="1" applyBorder="1" applyAlignment="1" applyProtection="1">
      <alignment horizontal="center"/>
      <protection hidden="1"/>
    </xf>
    <xf numFmtId="0" fontId="14" fillId="33" borderId="21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2" fontId="11" fillId="34" borderId="0" xfId="0" applyNumberFormat="1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>
      <alignment horizontal="center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22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13" fillId="33" borderId="23" xfId="0" applyNumberFormat="1" applyFont="1" applyFill="1" applyBorder="1" applyAlignment="1" applyProtection="1">
      <alignment horizontal="center"/>
      <protection hidden="1" locked="0"/>
    </xf>
    <xf numFmtId="0" fontId="7" fillId="33" borderId="24" xfId="0" applyFont="1" applyFill="1" applyBorder="1" applyAlignment="1">
      <alignment horizontal="center"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0" fontId="14" fillId="33" borderId="19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/>
    </xf>
    <xf numFmtId="164" fontId="11" fillId="33" borderId="2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65" fontId="6" fillId="36" borderId="15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1" fontId="13" fillId="33" borderId="0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/>
    </xf>
    <xf numFmtId="3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6" fillId="34" borderId="0" xfId="0" applyNumberFormat="1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 applyProtection="1">
      <alignment horizontal="center"/>
      <protection hidden="1"/>
    </xf>
    <xf numFmtId="164" fontId="13" fillId="33" borderId="23" xfId="0" applyNumberFormat="1" applyFont="1" applyFill="1" applyBorder="1" applyAlignment="1" applyProtection="1">
      <alignment horizontal="center"/>
      <protection hidden="1" locked="0"/>
    </xf>
    <xf numFmtId="0" fontId="7" fillId="33" borderId="23" xfId="0" applyFont="1" applyFill="1" applyBorder="1" applyAlignment="1">
      <alignment horizontal="center"/>
    </xf>
    <xf numFmtId="2" fontId="6" fillId="33" borderId="23" xfId="0" applyNumberFormat="1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/>
      <protection hidden="1"/>
    </xf>
    <xf numFmtId="0" fontId="11" fillId="33" borderId="13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 horizontal="center"/>
    </xf>
    <xf numFmtId="164" fontId="15" fillId="37" borderId="15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1" fontId="14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1" fontId="7" fillId="34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left"/>
    </xf>
    <xf numFmtId="0" fontId="7" fillId="35" borderId="22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2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left"/>
    </xf>
    <xf numFmtId="0" fontId="7" fillId="33" borderId="16" xfId="0" applyFont="1" applyFill="1" applyBorder="1" applyAlignment="1" applyProtection="1">
      <alignment horizontal="center"/>
      <protection hidden="1"/>
    </xf>
    <xf numFmtId="0" fontId="7" fillId="33" borderId="22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16.emf" /><Relationship Id="rId7" Type="http://schemas.openxmlformats.org/officeDocument/2006/relationships/image" Target="../media/image10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2.emf" /><Relationship Id="rId11" Type="http://schemas.openxmlformats.org/officeDocument/2006/relationships/image" Target="../media/image15.emf" /><Relationship Id="rId12" Type="http://schemas.openxmlformats.org/officeDocument/2006/relationships/image" Target="../media/image3.emf" /><Relationship Id="rId13" Type="http://schemas.openxmlformats.org/officeDocument/2006/relationships/image" Target="../media/image17.emf" /><Relationship Id="rId14" Type="http://schemas.openxmlformats.org/officeDocument/2006/relationships/image" Target="../media/image1.emf" /><Relationship Id="rId15" Type="http://schemas.openxmlformats.org/officeDocument/2006/relationships/image" Target="../media/image7.emf" /><Relationship Id="rId16" Type="http://schemas.openxmlformats.org/officeDocument/2006/relationships/image" Target="../media/image5.emf" /><Relationship Id="rId17" Type="http://schemas.openxmlformats.org/officeDocument/2006/relationships/image" Target="../media/image9.emf" /><Relationship Id="rId18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19050</xdr:colOff>
      <xdr:row>7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62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26</xdr:row>
      <xdr:rowOff>19050</xdr:rowOff>
    </xdr:from>
    <xdr:to>
      <xdr:col>7</xdr:col>
      <xdr:colOff>276225</xdr:colOff>
      <xdr:row>27</xdr:row>
      <xdr:rowOff>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019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27</xdr:row>
      <xdr:rowOff>28575</xdr:rowOff>
    </xdr:from>
    <xdr:to>
      <xdr:col>7</xdr:col>
      <xdr:colOff>276225</xdr:colOff>
      <xdr:row>28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5238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28</xdr:row>
      <xdr:rowOff>19050</xdr:rowOff>
    </xdr:from>
    <xdr:to>
      <xdr:col>7</xdr:col>
      <xdr:colOff>276225</xdr:colOff>
      <xdr:row>29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438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31</xdr:row>
      <xdr:rowOff>9525</xdr:rowOff>
    </xdr:from>
    <xdr:to>
      <xdr:col>7</xdr:col>
      <xdr:colOff>276225</xdr:colOff>
      <xdr:row>31</xdr:row>
      <xdr:rowOff>142875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05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32</xdr:row>
      <xdr:rowOff>9525</xdr:rowOff>
    </xdr:from>
    <xdr:to>
      <xdr:col>7</xdr:col>
      <xdr:colOff>276225</xdr:colOff>
      <xdr:row>32</xdr:row>
      <xdr:rowOff>142875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6267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33</xdr:row>
      <xdr:rowOff>9525</xdr:rowOff>
    </xdr:from>
    <xdr:to>
      <xdr:col>7</xdr:col>
      <xdr:colOff>276225</xdr:colOff>
      <xdr:row>33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6477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295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28575</xdr:rowOff>
    </xdr:from>
    <xdr:to>
      <xdr:col>7</xdr:col>
      <xdr:colOff>276225</xdr:colOff>
      <xdr:row>15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2514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19050</xdr:rowOff>
    </xdr:from>
    <xdr:to>
      <xdr:col>7</xdr:col>
      <xdr:colOff>276225</xdr:colOff>
      <xdr:row>18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3133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28575</xdr:rowOff>
    </xdr:from>
    <xdr:to>
      <xdr:col>7</xdr:col>
      <xdr:colOff>276225</xdr:colOff>
      <xdr:row>19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62450" y="3352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21</xdr:row>
      <xdr:rowOff>19050</xdr:rowOff>
    </xdr:from>
    <xdr:to>
      <xdr:col>7</xdr:col>
      <xdr:colOff>276225</xdr:colOff>
      <xdr:row>22</xdr:row>
      <xdr:rowOff>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62450" y="3971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22</xdr:row>
      <xdr:rowOff>47625</xdr:rowOff>
    </xdr:from>
    <xdr:to>
      <xdr:col>7</xdr:col>
      <xdr:colOff>276225</xdr:colOff>
      <xdr:row>22</xdr:row>
      <xdr:rowOff>180975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71975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42</xdr:row>
      <xdr:rowOff>9525</xdr:rowOff>
    </xdr:from>
    <xdr:to>
      <xdr:col>7</xdr:col>
      <xdr:colOff>228600</xdr:colOff>
      <xdr:row>42</xdr:row>
      <xdr:rowOff>190500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14825" y="83629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43</xdr:row>
      <xdr:rowOff>9525</xdr:rowOff>
    </xdr:from>
    <xdr:to>
      <xdr:col>7</xdr:col>
      <xdr:colOff>228600</xdr:colOff>
      <xdr:row>43</xdr:row>
      <xdr:rowOff>190500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14825" y="85725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19050</xdr:rowOff>
    </xdr:from>
    <xdr:to>
      <xdr:col>7</xdr:col>
      <xdr:colOff>276225</xdr:colOff>
      <xdr:row>13</xdr:row>
      <xdr:rowOff>0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62450" y="2085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20</xdr:row>
      <xdr:rowOff>38100</xdr:rowOff>
    </xdr:from>
    <xdr:to>
      <xdr:col>2</xdr:col>
      <xdr:colOff>1628775</xdr:colOff>
      <xdr:row>20</xdr:row>
      <xdr:rowOff>200025</xdr:rowOff>
    </xdr:to>
    <xdr:pic>
      <xdr:nvPicPr>
        <xdr:cNvPr id="17" name="Spin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24025" y="378142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47625</xdr:rowOff>
    </xdr:from>
    <xdr:to>
      <xdr:col>7</xdr:col>
      <xdr:colOff>276225</xdr:colOff>
      <xdr:row>23</xdr:row>
      <xdr:rowOff>180975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71975" y="4419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6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8:AF74"/>
  <sheetViews>
    <sheetView tabSelected="1" zoomScalePageLayoutView="0" workbookViewId="0" topLeftCell="A25">
      <selection activeCell="B8" sqref="B8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5.28125" style="8" customWidth="1"/>
    <col min="4" max="4" width="10.28125" style="8" customWidth="1"/>
    <col min="5" max="5" width="6.57421875" style="8" customWidth="1"/>
    <col min="6" max="6" width="7.28125" style="8" customWidth="1"/>
    <col min="7" max="7" width="5.421875" style="8" customWidth="1"/>
    <col min="8" max="8" width="5.57421875" style="8" customWidth="1"/>
    <col min="9" max="9" width="10.28125" style="8" customWidth="1"/>
    <col min="10" max="10" width="19.7109375" style="8" customWidth="1"/>
    <col min="11" max="11" width="8.140625" style="8" customWidth="1"/>
    <col min="12" max="12" width="8.00390625" style="8" hidden="1" customWidth="1"/>
    <col min="13" max="13" width="14.57421875" style="8" hidden="1" customWidth="1"/>
    <col min="14" max="14" width="10.140625" style="8" hidden="1" customWidth="1"/>
    <col min="15" max="15" width="10.57421875" style="8" hidden="1" customWidth="1"/>
    <col min="16" max="16" width="7.140625" style="8" hidden="1" customWidth="1"/>
    <col min="17" max="17" width="8.28125" style="8" hidden="1" customWidth="1"/>
    <col min="18" max="19" width="7.140625" style="8" hidden="1" customWidth="1"/>
    <col min="20" max="21" width="7.140625" style="8" customWidth="1"/>
    <col min="22" max="26" width="11.57421875" style="8" customWidth="1"/>
    <col min="27" max="27" width="0" style="9" hidden="1" customWidth="1"/>
    <col min="28" max="29" width="11.421875" style="10" hidden="1" customWidth="1"/>
    <col min="30" max="30" width="11.421875" style="9" hidden="1" customWidth="1"/>
    <col min="31" max="16384" width="11.57421875" style="8" customWidth="1"/>
  </cols>
  <sheetData>
    <row r="1" ht="14.25"/>
    <row r="2" ht="14.25"/>
    <row r="3" ht="11.25" customHeight="1"/>
    <row r="4" ht="11.25" customHeight="1"/>
    <row r="5" ht="13.5" customHeight="1"/>
    <row r="6" ht="12" customHeight="1"/>
    <row r="7" ht="14.25"/>
    <row r="8" spans="1:11" ht="15">
      <c r="A8" s="11"/>
      <c r="B8" s="12"/>
      <c r="C8" s="13" t="s">
        <v>63</v>
      </c>
      <c r="D8" s="14" t="s">
        <v>88</v>
      </c>
      <c r="E8" s="15"/>
      <c r="F8" s="12"/>
      <c r="G8" s="12"/>
      <c r="H8" s="12"/>
      <c r="I8" s="12"/>
      <c r="J8" s="12"/>
      <c r="K8" s="16"/>
    </row>
    <row r="9" spans="1:11" ht="13.5">
      <c r="A9" s="17"/>
      <c r="B9" s="18"/>
      <c r="C9" s="19" t="s">
        <v>0</v>
      </c>
      <c r="D9" s="20" t="s">
        <v>89</v>
      </c>
      <c r="E9" s="21"/>
      <c r="F9" s="22"/>
      <c r="G9" s="22"/>
      <c r="H9" s="18"/>
      <c r="I9" s="18"/>
      <c r="J9" s="18"/>
      <c r="K9" s="23"/>
    </row>
    <row r="10" spans="1:31" ht="13.5">
      <c r="A10" s="17"/>
      <c r="B10" s="18"/>
      <c r="C10" s="19" t="s">
        <v>1</v>
      </c>
      <c r="D10" s="24" t="s">
        <v>90</v>
      </c>
      <c r="E10" s="25"/>
      <c r="F10" s="25"/>
      <c r="G10" s="26"/>
      <c r="H10" s="18"/>
      <c r="I10" s="18"/>
      <c r="J10" s="18"/>
      <c r="K10" s="23"/>
      <c r="M10" s="166" t="s">
        <v>67</v>
      </c>
      <c r="N10" s="167"/>
      <c r="AD10" s="29"/>
      <c r="AE10" s="30"/>
    </row>
    <row r="11" spans="1:31" ht="13.5">
      <c r="A11" s="17"/>
      <c r="B11" s="18"/>
      <c r="C11" s="19"/>
      <c r="D11" s="24"/>
      <c r="E11" s="25"/>
      <c r="F11" s="25"/>
      <c r="G11" s="26"/>
      <c r="H11" s="18"/>
      <c r="I11" s="18"/>
      <c r="J11" s="18"/>
      <c r="K11" s="23"/>
      <c r="M11" s="27"/>
      <c r="N11" s="28"/>
      <c r="AD11" s="29"/>
      <c r="AE11" s="30"/>
    </row>
    <row r="12" spans="1:30" ht="16.5" customHeight="1">
      <c r="A12" s="17"/>
      <c r="B12" s="18"/>
      <c r="C12" s="18"/>
      <c r="D12" s="18"/>
      <c r="E12" s="18"/>
      <c r="F12" s="18"/>
      <c r="G12" s="18"/>
      <c r="H12" s="18"/>
      <c r="I12" s="154" t="s">
        <v>62</v>
      </c>
      <c r="J12" s="155"/>
      <c r="K12" s="31"/>
      <c r="AD12" s="29"/>
    </row>
    <row r="13" spans="1:30" ht="16.5" customHeight="1">
      <c r="A13" s="17"/>
      <c r="B13" s="163" t="str">
        <f>IF($AE$10="Cynara","Producción en MS","Producción de grano")</f>
        <v>Producción de grano</v>
      </c>
      <c r="C13" s="164" t="b">
        <f>IF($AE$10="Cereal",2.5,IF($AE$10="Maíz",7,IF($AE$10="Girasol",1.5,IF($AE$10="Cynara",10))))</f>
        <v>0</v>
      </c>
      <c r="D13" s="32">
        <f>IF(K13=TRUE,J13,IF(K14=TRUE,J14,J15))</f>
        <v>12</v>
      </c>
      <c r="E13" s="33" t="s">
        <v>2</v>
      </c>
      <c r="F13" s="18"/>
      <c r="G13" s="18"/>
      <c r="H13" s="34"/>
      <c r="I13" s="35" t="s">
        <v>9</v>
      </c>
      <c r="J13" s="36">
        <v>8</v>
      </c>
      <c r="K13" s="37" t="b">
        <v>0</v>
      </c>
      <c r="L13" s="38"/>
      <c r="AD13" s="29"/>
    </row>
    <row r="14" spans="1:30" ht="16.5" customHeight="1">
      <c r="A14" s="17"/>
      <c r="B14" s="156" t="s">
        <v>7</v>
      </c>
      <c r="C14" s="157"/>
      <c r="D14" s="41">
        <f>IF(K22=TRUE,J22,IF(K23=TRUE,J23,J24))</f>
        <v>6</v>
      </c>
      <c r="E14" s="42" t="s">
        <v>8</v>
      </c>
      <c r="F14" s="18"/>
      <c r="G14" s="18"/>
      <c r="H14" s="34"/>
      <c r="I14" s="43" t="s">
        <v>12</v>
      </c>
      <c r="J14" s="36">
        <v>10</v>
      </c>
      <c r="K14" s="44" t="b">
        <v>0</v>
      </c>
      <c r="L14" s="38"/>
      <c r="AD14" s="29"/>
    </row>
    <row r="15" spans="1:17" ht="16.5" customHeight="1">
      <c r="A15" s="17"/>
      <c r="B15" s="39" t="s">
        <v>74</v>
      </c>
      <c r="C15" s="40"/>
      <c r="D15" s="45">
        <f>0.1*D13*D14*D21</f>
        <v>21.6</v>
      </c>
      <c r="E15" s="42" t="s">
        <v>18</v>
      </c>
      <c r="F15" s="18"/>
      <c r="G15" s="18"/>
      <c r="H15" s="34"/>
      <c r="I15" s="43" t="s">
        <v>13</v>
      </c>
      <c r="J15" s="36">
        <v>12</v>
      </c>
      <c r="K15" s="44" t="b">
        <v>1</v>
      </c>
      <c r="L15" s="38"/>
      <c r="M15" s="165" t="s">
        <v>56</v>
      </c>
      <c r="N15" s="46" t="s">
        <v>4</v>
      </c>
      <c r="O15" s="47" t="s">
        <v>5</v>
      </c>
      <c r="P15" s="48" t="s">
        <v>6</v>
      </c>
      <c r="Q15" s="35" t="s">
        <v>4</v>
      </c>
    </row>
    <row r="16" spans="1:28" ht="16.5" customHeight="1">
      <c r="A16" s="17"/>
      <c r="B16" s="39" t="s">
        <v>75</v>
      </c>
      <c r="C16" s="49"/>
      <c r="D16" s="45">
        <f>+D15*F16</f>
        <v>108</v>
      </c>
      <c r="E16" s="42" t="s">
        <v>14</v>
      </c>
      <c r="F16" s="50">
        <v>5</v>
      </c>
      <c r="G16" s="18"/>
      <c r="H16" s="18"/>
      <c r="I16" s="18"/>
      <c r="J16" s="18"/>
      <c r="K16" s="44"/>
      <c r="L16" s="38"/>
      <c r="M16" s="165"/>
      <c r="N16" s="51">
        <v>20</v>
      </c>
      <c r="O16" s="52">
        <v>3.6</v>
      </c>
      <c r="P16" s="53">
        <f>D15</f>
        <v>21.6</v>
      </c>
      <c r="Q16" s="54">
        <f>P16*O16</f>
        <v>77.76</v>
      </c>
      <c r="W16" s="55"/>
      <c r="AB16" s="10" t="b">
        <v>1</v>
      </c>
    </row>
    <row r="17" spans="1:28" ht="16.5" customHeight="1">
      <c r="A17" s="17"/>
      <c r="B17" s="56"/>
      <c r="C17" s="57"/>
      <c r="D17" s="45"/>
      <c r="E17" s="42"/>
      <c r="F17" s="58"/>
      <c r="G17" s="18"/>
      <c r="H17" s="18"/>
      <c r="I17" s="154" t="s">
        <v>72</v>
      </c>
      <c r="J17" s="155"/>
      <c r="K17" s="44"/>
      <c r="L17" s="38"/>
      <c r="N17" s="59"/>
      <c r="O17" s="59"/>
      <c r="P17" s="49"/>
      <c r="Q17" s="49"/>
      <c r="R17" s="49"/>
      <c r="S17" s="49"/>
      <c r="T17" s="49"/>
      <c r="AB17" s="10" t="b">
        <v>0</v>
      </c>
    </row>
    <row r="18" spans="1:32" ht="16.5" customHeight="1">
      <c r="A18" s="17"/>
      <c r="B18" s="39" t="s">
        <v>73</v>
      </c>
      <c r="C18" s="40"/>
      <c r="D18" s="45">
        <f>IF(K18,J18,J19)</f>
        <v>190</v>
      </c>
      <c r="E18" s="42" t="s">
        <v>14</v>
      </c>
      <c r="F18" s="58"/>
      <c r="G18" s="18"/>
      <c r="H18" s="34"/>
      <c r="I18" s="43" t="s">
        <v>9</v>
      </c>
      <c r="J18" s="60">
        <v>190</v>
      </c>
      <c r="K18" s="37" t="b">
        <v>1</v>
      </c>
      <c r="L18" s="38"/>
      <c r="M18" s="165" t="s">
        <v>64</v>
      </c>
      <c r="N18" s="46" t="s">
        <v>4</v>
      </c>
      <c r="O18" s="47" t="s">
        <v>5</v>
      </c>
      <c r="P18" s="48" t="s">
        <v>6</v>
      </c>
      <c r="Q18" s="35" t="s">
        <v>4</v>
      </c>
      <c r="R18" s="49"/>
      <c r="S18" s="49"/>
      <c r="T18" s="49"/>
      <c r="AF18" s="61"/>
    </row>
    <row r="19" spans="1:22" ht="16.5" customHeight="1">
      <c r="A19" s="17"/>
      <c r="B19" s="56"/>
      <c r="C19" s="57"/>
      <c r="D19" s="45">
        <f>D18*1.36</f>
        <v>258.40000000000003</v>
      </c>
      <c r="E19" s="42" t="s">
        <v>15</v>
      </c>
      <c r="F19" s="58"/>
      <c r="G19" s="18"/>
      <c r="H19" s="34"/>
      <c r="I19" s="43" t="s">
        <v>13</v>
      </c>
      <c r="J19" s="60">
        <v>240</v>
      </c>
      <c r="K19" s="44" t="b">
        <v>0</v>
      </c>
      <c r="L19" s="38"/>
      <c r="M19" s="165"/>
      <c r="N19" s="51">
        <v>35</v>
      </c>
      <c r="O19" s="52">
        <v>1.6</v>
      </c>
      <c r="P19" s="53">
        <f>D15</f>
        <v>21.6</v>
      </c>
      <c r="Q19" s="54">
        <f>P19*O19</f>
        <v>34.56</v>
      </c>
      <c r="R19" s="49"/>
      <c r="S19" s="49"/>
      <c r="T19" s="49"/>
      <c r="U19" s="49"/>
      <c r="V19" s="49"/>
    </row>
    <row r="20" spans="1:29" ht="16.5" customHeight="1">
      <c r="A20" s="17"/>
      <c r="B20" s="156" t="s">
        <v>83</v>
      </c>
      <c r="C20" s="157"/>
      <c r="D20" s="62">
        <f>+D18*0.5*D21/(D16)</f>
        <v>2.638888888888889</v>
      </c>
      <c r="E20" s="42" t="s">
        <v>11</v>
      </c>
      <c r="F20" s="58"/>
      <c r="G20" s="18"/>
      <c r="H20" s="18"/>
      <c r="I20" s="18"/>
      <c r="J20" s="18"/>
      <c r="K20" s="44"/>
      <c r="L20" s="38"/>
      <c r="M20" s="63"/>
      <c r="N20" s="64"/>
      <c r="O20" s="65"/>
      <c r="P20" s="66"/>
      <c r="Q20" s="59"/>
      <c r="R20" s="49"/>
      <c r="S20" s="49"/>
      <c r="T20" s="49"/>
      <c r="U20" s="49"/>
      <c r="V20" s="49"/>
      <c r="AB20" s="10" t="b">
        <v>1</v>
      </c>
      <c r="AC20" s="10" t="b">
        <v>1</v>
      </c>
    </row>
    <row r="21" spans="1:29" ht="16.5" customHeight="1">
      <c r="A21" s="17"/>
      <c r="B21" s="156" t="s">
        <v>10</v>
      </c>
      <c r="C21" s="157"/>
      <c r="D21" s="67">
        <f>+F21/4</f>
        <v>3</v>
      </c>
      <c r="E21" s="42" t="s">
        <v>11</v>
      </c>
      <c r="F21" s="50">
        <v>12</v>
      </c>
      <c r="G21" s="18"/>
      <c r="H21" s="18"/>
      <c r="I21" s="154" t="s">
        <v>65</v>
      </c>
      <c r="J21" s="155"/>
      <c r="K21" s="44"/>
      <c r="L21" s="38"/>
      <c r="P21" s="59"/>
      <c r="R21" s="68"/>
      <c r="S21" s="68"/>
      <c r="AB21" s="10" t="b">
        <v>1</v>
      </c>
      <c r="AC21" s="10" t="b">
        <v>0</v>
      </c>
    </row>
    <row r="22" spans="1:19" ht="16.5" customHeight="1">
      <c r="A22" s="17"/>
      <c r="B22" s="56"/>
      <c r="C22" s="57"/>
      <c r="D22" s="45"/>
      <c r="E22" s="42"/>
      <c r="F22" s="58"/>
      <c r="G22" s="18"/>
      <c r="H22" s="34"/>
      <c r="I22" s="43" t="s">
        <v>9</v>
      </c>
      <c r="J22" s="69">
        <v>5</v>
      </c>
      <c r="K22" s="44" t="b">
        <v>0</v>
      </c>
      <c r="L22" s="70"/>
      <c r="M22" s="169" t="s">
        <v>17</v>
      </c>
      <c r="N22" s="170"/>
      <c r="O22" s="59"/>
      <c r="P22" s="59"/>
      <c r="Q22" s="68"/>
      <c r="R22" s="68"/>
      <c r="S22" s="68"/>
    </row>
    <row r="23" spans="1:28" ht="16.5" customHeight="1">
      <c r="A23" s="17"/>
      <c r="B23" s="156" t="s">
        <v>21</v>
      </c>
      <c r="C23" s="157"/>
      <c r="D23" s="71">
        <f>10/(D14*D21)</f>
        <v>0.5555555555555556</v>
      </c>
      <c r="E23" s="42" t="s">
        <v>22</v>
      </c>
      <c r="F23" s="18"/>
      <c r="G23" s="18"/>
      <c r="H23" s="34"/>
      <c r="I23" s="72" t="s">
        <v>12</v>
      </c>
      <c r="J23" s="73">
        <v>6</v>
      </c>
      <c r="K23" s="44" t="b">
        <v>1</v>
      </c>
      <c r="L23" s="70"/>
      <c r="M23" s="35" t="s">
        <v>61</v>
      </c>
      <c r="N23" s="35" t="s">
        <v>20</v>
      </c>
      <c r="O23" s="59"/>
      <c r="P23" s="59"/>
      <c r="Q23" s="68"/>
      <c r="R23" s="68"/>
      <c r="S23" s="68"/>
      <c r="AB23" s="10" t="b">
        <v>0</v>
      </c>
    </row>
    <row r="24" spans="1:19" ht="16.5" customHeight="1">
      <c r="A24" s="17"/>
      <c r="B24" s="156" t="s">
        <v>24</v>
      </c>
      <c r="C24" s="157"/>
      <c r="D24" s="74">
        <f>IF(AB23=TRUE,J27,IF(AB25=TRUE,J28,IF(AB26=TRUE,J29)))</f>
        <v>0.85</v>
      </c>
      <c r="E24" s="75"/>
      <c r="F24" s="18"/>
      <c r="G24" s="18"/>
      <c r="H24" s="34"/>
      <c r="I24" s="76" t="s">
        <v>13</v>
      </c>
      <c r="J24" s="69">
        <v>7</v>
      </c>
      <c r="K24" s="44" t="b">
        <v>0</v>
      </c>
      <c r="L24" s="70"/>
      <c r="M24" s="35"/>
      <c r="N24" s="35"/>
      <c r="O24" s="59"/>
      <c r="P24" s="59"/>
      <c r="Q24" s="68"/>
      <c r="R24" s="68"/>
      <c r="S24" s="68"/>
    </row>
    <row r="25" spans="1:28" ht="16.5" customHeight="1">
      <c r="A25" s="17"/>
      <c r="B25" s="56"/>
      <c r="C25" s="57"/>
      <c r="D25" s="45"/>
      <c r="E25" s="42"/>
      <c r="F25" s="18"/>
      <c r="G25" s="18"/>
      <c r="H25" s="18"/>
      <c r="I25" s="77"/>
      <c r="J25" s="78"/>
      <c r="K25" s="44"/>
      <c r="L25" s="70"/>
      <c r="M25" s="35" t="s">
        <v>57</v>
      </c>
      <c r="N25" s="48" t="s">
        <v>58</v>
      </c>
      <c r="O25" s="59"/>
      <c r="Q25" s="68"/>
      <c r="R25" s="68"/>
      <c r="S25" s="68"/>
      <c r="AB25" s="10" t="b">
        <v>0</v>
      </c>
    </row>
    <row r="26" spans="1:28" ht="16.5" customHeight="1">
      <c r="A26" s="17"/>
      <c r="B26" s="172" t="s">
        <v>25</v>
      </c>
      <c r="C26" s="173"/>
      <c r="D26" s="81">
        <f>D23/D24</f>
        <v>0.6535947712418301</v>
      </c>
      <c r="E26" s="82" t="s">
        <v>22</v>
      </c>
      <c r="F26" s="18"/>
      <c r="G26" s="18"/>
      <c r="H26" s="83"/>
      <c r="I26" s="168" t="s">
        <v>3</v>
      </c>
      <c r="J26" s="168"/>
      <c r="K26" s="84"/>
      <c r="L26" s="59"/>
      <c r="M26" s="35" t="s">
        <v>59</v>
      </c>
      <c r="N26" s="48" t="s">
        <v>60</v>
      </c>
      <c r="O26" s="59"/>
      <c r="P26" s="59"/>
      <c r="Q26" s="68"/>
      <c r="AB26" s="10" t="b">
        <v>1</v>
      </c>
    </row>
    <row r="27" spans="1:28" ht="16.5" customHeight="1">
      <c r="A27" s="17"/>
      <c r="B27" s="85"/>
      <c r="C27" s="86"/>
      <c r="D27" s="87">
        <f>1/D26</f>
        <v>1.53</v>
      </c>
      <c r="E27" s="88" t="s">
        <v>27</v>
      </c>
      <c r="F27" s="18"/>
      <c r="G27" s="18"/>
      <c r="H27" s="89"/>
      <c r="I27" s="43" t="s">
        <v>9</v>
      </c>
      <c r="J27" s="60">
        <v>0.65</v>
      </c>
      <c r="K27" s="84"/>
      <c r="M27" s="59"/>
      <c r="N27" s="68"/>
      <c r="O27" s="68"/>
      <c r="P27" s="68"/>
      <c r="AB27" s="10" t="b">
        <v>0</v>
      </c>
    </row>
    <row r="28" spans="1:28" ht="16.5" customHeight="1">
      <c r="A28" s="17"/>
      <c r="B28" s="18"/>
      <c r="C28" s="90"/>
      <c r="D28" s="91"/>
      <c r="E28" s="92"/>
      <c r="F28" s="18"/>
      <c r="G28" s="18"/>
      <c r="H28" s="89"/>
      <c r="I28" s="43" t="s">
        <v>12</v>
      </c>
      <c r="J28" s="60">
        <v>0.75</v>
      </c>
      <c r="K28" s="23"/>
      <c r="L28" s="59"/>
      <c r="M28" s="49"/>
      <c r="N28" s="49"/>
      <c r="O28" s="68"/>
      <c r="P28" s="68"/>
      <c r="AB28" s="10" t="b">
        <v>1</v>
      </c>
    </row>
    <row r="29" spans="1:28" ht="16.5" customHeight="1">
      <c r="A29" s="17"/>
      <c r="B29" s="180" t="s">
        <v>30</v>
      </c>
      <c r="C29" s="161"/>
      <c r="D29" s="93"/>
      <c r="E29" s="94"/>
      <c r="F29" s="18"/>
      <c r="G29" s="18"/>
      <c r="H29" s="89"/>
      <c r="I29" s="43" t="s">
        <v>13</v>
      </c>
      <c r="J29" s="60">
        <v>0.85</v>
      </c>
      <c r="K29" s="84"/>
      <c r="L29" s="59"/>
      <c r="R29" s="49"/>
      <c r="AB29" s="10" t="b">
        <v>0</v>
      </c>
    </row>
    <row r="30" spans="1:19" ht="16.5" customHeight="1">
      <c r="A30" s="17"/>
      <c r="B30" s="156" t="s">
        <v>31</v>
      </c>
      <c r="C30" s="157"/>
      <c r="D30" s="74">
        <f>IF(AB27=TRUE,J32,IF(AB28=TRUE,J33,IF(AB29=TRUE,J34)))</f>
        <v>75</v>
      </c>
      <c r="E30" s="42" t="s">
        <v>32</v>
      </c>
      <c r="F30" s="18"/>
      <c r="G30" s="18"/>
      <c r="H30" s="83"/>
      <c r="I30" s="18"/>
      <c r="J30" s="18"/>
      <c r="K30" s="84"/>
      <c r="L30" s="59"/>
      <c r="O30" s="49"/>
      <c r="P30" s="49"/>
      <c r="Q30" s="49"/>
      <c r="R30" s="95"/>
      <c r="S30" s="95"/>
    </row>
    <row r="31" spans="1:28" ht="16.5" customHeight="1">
      <c r="A31" s="17"/>
      <c r="B31" s="156" t="s">
        <v>33</v>
      </c>
      <c r="C31" s="157"/>
      <c r="D31" s="71">
        <f>IF(D30=J32,J38*D18,IF(D30=J33,J39*D18,IF(D30=J34,J40*D18)))</f>
        <v>39.33</v>
      </c>
      <c r="E31" s="42" t="s">
        <v>34</v>
      </c>
      <c r="F31" s="18"/>
      <c r="G31" s="18"/>
      <c r="H31" s="83"/>
      <c r="I31" s="154" t="s">
        <v>16</v>
      </c>
      <c r="J31" s="155"/>
      <c r="K31" s="84"/>
      <c r="L31" s="59"/>
      <c r="O31" s="49"/>
      <c r="P31" s="49"/>
      <c r="Q31" s="95"/>
      <c r="R31" s="96"/>
      <c r="S31" s="96"/>
      <c r="AB31" s="10" t="b">
        <v>1</v>
      </c>
    </row>
    <row r="32" spans="1:28" ht="16.5" customHeight="1">
      <c r="A32" s="17"/>
      <c r="B32" s="97"/>
      <c r="C32" s="98"/>
      <c r="D32" s="71">
        <f>D31*D26</f>
        <v>25.705882352941174</v>
      </c>
      <c r="E32" s="42" t="s">
        <v>36</v>
      </c>
      <c r="F32" s="18"/>
      <c r="G32" s="18"/>
      <c r="H32" s="89"/>
      <c r="I32" s="43" t="s">
        <v>19</v>
      </c>
      <c r="J32" s="60">
        <v>50</v>
      </c>
      <c r="K32" s="84"/>
      <c r="L32" s="59"/>
      <c r="M32" s="95"/>
      <c r="N32" s="95"/>
      <c r="O32" s="96"/>
      <c r="P32" s="96"/>
      <c r="Q32" s="96"/>
      <c r="R32" s="99"/>
      <c r="S32" s="99"/>
      <c r="T32" s="49"/>
      <c r="U32" s="49"/>
      <c r="V32" s="49"/>
      <c r="W32" s="49"/>
      <c r="X32" s="49"/>
      <c r="Y32" s="49"/>
      <c r="Z32" s="49"/>
      <c r="AB32" s="10" t="b">
        <v>0</v>
      </c>
    </row>
    <row r="33" spans="1:28" ht="16.5" customHeight="1">
      <c r="A33" s="17"/>
      <c r="B33" s="156" t="s">
        <v>37</v>
      </c>
      <c r="C33" s="157"/>
      <c r="D33" s="100">
        <f>D31*0.1/100</f>
        <v>0.03933</v>
      </c>
      <c r="E33" s="42" t="s">
        <v>34</v>
      </c>
      <c r="F33" s="18"/>
      <c r="G33" s="18"/>
      <c r="H33" s="89"/>
      <c r="I33" s="43" t="s">
        <v>23</v>
      </c>
      <c r="J33" s="60">
        <v>75</v>
      </c>
      <c r="K33" s="23"/>
      <c r="L33" s="59"/>
      <c r="M33" s="96"/>
      <c r="N33" s="96"/>
      <c r="O33" s="59"/>
      <c r="P33" s="99"/>
      <c r="Q33" s="99"/>
      <c r="R33" s="59"/>
      <c r="S33" s="59"/>
      <c r="T33" s="49"/>
      <c r="U33" s="49"/>
      <c r="V33" s="49"/>
      <c r="W33" s="49"/>
      <c r="X33" s="49"/>
      <c r="Y33" s="49"/>
      <c r="Z33" s="49"/>
      <c r="AB33" s="10" t="b">
        <v>0</v>
      </c>
    </row>
    <row r="34" spans="1:26" ht="16.5" customHeight="1">
      <c r="A34" s="17"/>
      <c r="B34" s="101"/>
      <c r="C34" s="102"/>
      <c r="D34" s="100">
        <f>D32*0.1/100</f>
        <v>0.025705882352941176</v>
      </c>
      <c r="E34" s="42" t="s">
        <v>36</v>
      </c>
      <c r="F34" s="18"/>
      <c r="G34" s="18"/>
      <c r="H34" s="89"/>
      <c r="I34" s="43" t="s">
        <v>98</v>
      </c>
      <c r="J34" s="60">
        <v>85</v>
      </c>
      <c r="K34" s="84"/>
      <c r="L34" s="59"/>
      <c r="M34" s="99"/>
      <c r="N34" s="99"/>
      <c r="O34" s="59"/>
      <c r="P34" s="59"/>
      <c r="Q34" s="59"/>
      <c r="R34" s="99"/>
      <c r="S34" s="99"/>
      <c r="T34" s="68"/>
      <c r="U34" s="68"/>
      <c r="V34" s="68"/>
      <c r="W34" s="68"/>
      <c r="X34" s="68"/>
      <c r="Y34" s="68"/>
      <c r="Z34" s="68"/>
    </row>
    <row r="35" spans="1:26" ht="16.5" customHeight="1" thickBot="1">
      <c r="A35" s="17"/>
      <c r="B35" s="158" t="s">
        <v>39</v>
      </c>
      <c r="C35" s="159"/>
      <c r="D35" s="103">
        <v>1</v>
      </c>
      <c r="E35" s="104" t="s">
        <v>40</v>
      </c>
      <c r="F35" s="18"/>
      <c r="G35" s="18"/>
      <c r="H35" s="83"/>
      <c r="I35" s="18"/>
      <c r="J35" s="18"/>
      <c r="K35" s="84"/>
      <c r="L35" s="59"/>
      <c r="M35" s="59"/>
      <c r="N35" s="59"/>
      <c r="O35" s="49"/>
      <c r="P35" s="99"/>
      <c r="Q35" s="99"/>
      <c r="R35" s="99"/>
      <c r="S35" s="99"/>
      <c r="T35" s="68"/>
      <c r="U35" s="68"/>
      <c r="V35" s="68"/>
      <c r="W35" s="68"/>
      <c r="X35" s="68"/>
      <c r="Y35" s="68"/>
      <c r="Z35" s="68"/>
    </row>
    <row r="36" spans="1:26" ht="16.5" customHeight="1" thickTop="1">
      <c r="A36" s="17"/>
      <c r="B36" s="79" t="s">
        <v>41</v>
      </c>
      <c r="C36" s="80"/>
      <c r="D36" s="105">
        <f>D35*D31</f>
        <v>39.33</v>
      </c>
      <c r="E36" s="82" t="s">
        <v>38</v>
      </c>
      <c r="F36" s="18"/>
      <c r="G36" s="18"/>
      <c r="H36" s="83"/>
      <c r="I36" s="154" t="s">
        <v>26</v>
      </c>
      <c r="J36" s="155"/>
      <c r="K36" s="84"/>
      <c r="M36" s="99"/>
      <c r="N36" s="99"/>
      <c r="O36" s="49"/>
      <c r="P36" s="99"/>
      <c r="Q36" s="99"/>
      <c r="R36" s="99"/>
      <c r="S36" s="99"/>
      <c r="T36" s="68"/>
      <c r="U36" s="68"/>
      <c r="V36" s="68"/>
      <c r="W36" s="68"/>
      <c r="X36" s="68"/>
      <c r="Y36" s="68"/>
      <c r="Z36" s="68"/>
    </row>
    <row r="37" spans="1:26" ht="16.5" customHeight="1">
      <c r="A37" s="17"/>
      <c r="B37" s="106"/>
      <c r="C37" s="107"/>
      <c r="D37" s="108">
        <f>D32*D35</f>
        <v>25.705882352941174</v>
      </c>
      <c r="E37" s="88" t="s">
        <v>42</v>
      </c>
      <c r="F37" s="18"/>
      <c r="G37" s="18"/>
      <c r="H37" s="83"/>
      <c r="I37" s="43" t="s">
        <v>28</v>
      </c>
      <c r="J37" s="60" t="s">
        <v>29</v>
      </c>
      <c r="K37" s="84"/>
      <c r="L37" s="59"/>
      <c r="M37" s="99"/>
      <c r="N37" s="99"/>
      <c r="O37" s="49"/>
      <c r="P37" s="99"/>
      <c r="Q37" s="99"/>
      <c r="R37" s="99"/>
      <c r="S37" s="99"/>
      <c r="T37" s="68"/>
      <c r="U37" s="68"/>
      <c r="V37" s="68"/>
      <c r="W37" s="68"/>
      <c r="X37" s="68"/>
      <c r="Y37" s="68"/>
      <c r="Z37" s="68"/>
    </row>
    <row r="38" spans="1:18" ht="16.5" customHeight="1">
      <c r="A38" s="17"/>
      <c r="B38" s="18"/>
      <c r="C38" s="18"/>
      <c r="D38" s="109"/>
      <c r="E38" s="21"/>
      <c r="F38" s="18"/>
      <c r="G38" s="18"/>
      <c r="H38" s="83"/>
      <c r="I38" s="43" t="s">
        <v>9</v>
      </c>
      <c r="J38" s="110">
        <v>0.15</v>
      </c>
      <c r="K38" s="23"/>
      <c r="L38" s="59"/>
      <c r="M38" s="99"/>
      <c r="N38" s="111"/>
      <c r="O38" s="49"/>
      <c r="P38" s="99"/>
      <c r="Q38" s="99"/>
      <c r="R38" s="49"/>
    </row>
    <row r="39" spans="1:28" ht="16.5" customHeight="1">
      <c r="A39" s="17"/>
      <c r="B39" s="180" t="s">
        <v>43</v>
      </c>
      <c r="C39" s="161"/>
      <c r="D39" s="93"/>
      <c r="E39" s="112"/>
      <c r="F39" s="161"/>
      <c r="G39" s="162"/>
      <c r="H39" s="83"/>
      <c r="I39" s="43" t="s">
        <v>12</v>
      </c>
      <c r="J39" s="110">
        <v>0.207</v>
      </c>
      <c r="K39" s="84"/>
      <c r="L39" s="59"/>
      <c r="M39" s="99"/>
      <c r="N39" s="99"/>
      <c r="O39" s="49"/>
      <c r="P39" s="49"/>
      <c r="Q39" s="49"/>
      <c r="AB39" s="10" t="b">
        <v>0</v>
      </c>
    </row>
    <row r="40" spans="1:28" ht="16.5" customHeight="1">
      <c r="A40" s="17"/>
      <c r="B40" s="156" t="s">
        <v>44</v>
      </c>
      <c r="C40" s="157"/>
      <c r="D40" s="113">
        <f>IF(AB39=TRUE,J43,J44)</f>
        <v>1000</v>
      </c>
      <c r="E40" s="114" t="s">
        <v>35</v>
      </c>
      <c r="F40" s="102"/>
      <c r="G40" s="115"/>
      <c r="H40" s="83"/>
      <c r="I40" s="43" t="s">
        <v>13</v>
      </c>
      <c r="J40" s="110">
        <v>0.236</v>
      </c>
      <c r="K40" s="84"/>
      <c r="L40" s="59"/>
      <c r="N40" s="49"/>
      <c r="AB40" s="10" t="b">
        <v>1</v>
      </c>
    </row>
    <row r="41" spans="1:14" ht="16.5" customHeight="1">
      <c r="A41" s="17"/>
      <c r="B41" s="97"/>
      <c r="C41" s="98"/>
      <c r="D41" s="74"/>
      <c r="E41" s="116"/>
      <c r="F41" s="102"/>
      <c r="G41" s="115"/>
      <c r="H41" s="83"/>
      <c r="I41" s="18"/>
      <c r="J41" s="18"/>
      <c r="K41" s="84"/>
      <c r="N41" s="49"/>
    </row>
    <row r="42" spans="1:19" ht="16.5" customHeight="1">
      <c r="A42" s="17"/>
      <c r="B42" s="156" t="s">
        <v>45</v>
      </c>
      <c r="C42" s="157"/>
      <c r="D42" s="117">
        <f>+F42*D18</f>
        <v>171000</v>
      </c>
      <c r="E42" s="114" t="s">
        <v>46</v>
      </c>
      <c r="F42" s="118">
        <v>900</v>
      </c>
      <c r="G42" s="119" t="s">
        <v>82</v>
      </c>
      <c r="H42" s="18"/>
      <c r="I42" s="160" t="s">
        <v>66</v>
      </c>
      <c r="J42" s="160"/>
      <c r="K42" s="84"/>
      <c r="R42" s="95"/>
      <c r="S42" s="120"/>
    </row>
    <row r="43" spans="1:18" ht="16.5" customHeight="1">
      <c r="A43" s="17"/>
      <c r="B43" s="101"/>
      <c r="C43" s="102"/>
      <c r="D43" s="121"/>
      <c r="E43" s="116"/>
      <c r="F43" s="102"/>
      <c r="G43" s="115"/>
      <c r="H43" s="34"/>
      <c r="I43" s="43" t="s">
        <v>9</v>
      </c>
      <c r="J43" s="69">
        <v>300</v>
      </c>
      <c r="K43" s="84"/>
      <c r="L43" s="59"/>
      <c r="O43" s="95"/>
      <c r="P43" s="95"/>
      <c r="Q43" s="95"/>
      <c r="R43" s="96"/>
    </row>
    <row r="44" spans="1:18" ht="16.5" customHeight="1">
      <c r="A44" s="17"/>
      <c r="B44" s="156" t="s">
        <v>47</v>
      </c>
      <c r="C44" s="157"/>
      <c r="D44" s="117">
        <v>4000</v>
      </c>
      <c r="E44" s="114" t="s">
        <v>48</v>
      </c>
      <c r="F44" s="71">
        <f>+$D$42/$D44</f>
        <v>42.75</v>
      </c>
      <c r="G44" s="122" t="s">
        <v>38</v>
      </c>
      <c r="H44" s="34"/>
      <c r="I44" s="43" t="s">
        <v>13</v>
      </c>
      <c r="J44" s="123">
        <v>1000</v>
      </c>
      <c r="K44" s="23"/>
      <c r="L44" s="59"/>
      <c r="O44" s="96"/>
      <c r="P44" s="96"/>
      <c r="Q44" s="96"/>
      <c r="R44" s="99"/>
    </row>
    <row r="45" spans="1:18" ht="16.5" customHeight="1">
      <c r="A45" s="17"/>
      <c r="B45" s="156" t="s">
        <v>49</v>
      </c>
      <c r="C45" s="157"/>
      <c r="D45" s="124">
        <v>20</v>
      </c>
      <c r="E45" s="114" t="s">
        <v>50</v>
      </c>
      <c r="F45" s="71">
        <f>+$D$42/($D45*D40)</f>
        <v>8.55</v>
      </c>
      <c r="G45" s="122" t="s">
        <v>38</v>
      </c>
      <c r="H45" s="18"/>
      <c r="I45" s="18"/>
      <c r="J45" s="125"/>
      <c r="K45" s="84"/>
      <c r="L45" s="59"/>
      <c r="O45" s="99"/>
      <c r="P45" s="99"/>
      <c r="Q45" s="99"/>
      <c r="R45" s="59"/>
    </row>
    <row r="46" spans="1:18" ht="16.5" customHeight="1">
      <c r="A46" s="17"/>
      <c r="B46" s="156" t="s">
        <v>51</v>
      </c>
      <c r="C46" s="157"/>
      <c r="D46" s="124">
        <v>5</v>
      </c>
      <c r="E46" s="114" t="s">
        <v>32</v>
      </c>
      <c r="F46" s="71">
        <f>+$D$42*0.006*$D46/D40</f>
        <v>5.13</v>
      </c>
      <c r="G46" s="122" t="s">
        <v>38</v>
      </c>
      <c r="H46" s="83"/>
      <c r="I46" s="18"/>
      <c r="J46" s="18"/>
      <c r="K46" s="84"/>
      <c r="L46" s="59"/>
      <c r="O46" s="59"/>
      <c r="P46" s="59"/>
      <c r="Q46" s="59"/>
      <c r="R46" s="99"/>
    </row>
    <row r="47" spans="1:18" ht="16.5" customHeight="1">
      <c r="A47" s="17"/>
      <c r="B47" s="156" t="s">
        <v>52</v>
      </c>
      <c r="C47" s="157"/>
      <c r="D47" s="124">
        <v>0.2</v>
      </c>
      <c r="E47" s="114" t="s">
        <v>53</v>
      </c>
      <c r="F47" s="71">
        <f>+$D$42*$D47/(100*D40)</f>
        <v>0.342</v>
      </c>
      <c r="G47" s="122" t="s">
        <v>38</v>
      </c>
      <c r="H47" s="18"/>
      <c r="I47" s="181" t="str">
        <f>CONCATENATE("Vida útil para ",D40," h/año")</f>
        <v>Vida útil para 1000 h/año</v>
      </c>
      <c r="J47" s="182"/>
      <c r="K47" s="126"/>
      <c r="O47" s="99"/>
      <c r="P47" s="99"/>
      <c r="Q47" s="99"/>
      <c r="R47" s="99"/>
    </row>
    <row r="48" spans="1:18" ht="16.5" customHeight="1">
      <c r="A48" s="17"/>
      <c r="B48" s="156" t="s">
        <v>54</v>
      </c>
      <c r="C48" s="157"/>
      <c r="D48" s="124">
        <v>0.1</v>
      </c>
      <c r="E48" s="114" t="s">
        <v>53</v>
      </c>
      <c r="F48" s="71">
        <f>+$D$42*$D48/(D40*100)</f>
        <v>0.171</v>
      </c>
      <c r="G48" s="122" t="s">
        <v>38</v>
      </c>
      <c r="H48" s="18"/>
      <c r="I48" s="127" t="s">
        <v>48</v>
      </c>
      <c r="J48" s="128">
        <f>+$D$42/($F$44+$F$45)</f>
        <v>3333.3333333333335</v>
      </c>
      <c r="K48" s="126"/>
      <c r="O48" s="99"/>
      <c r="P48" s="99"/>
      <c r="Q48" s="99"/>
      <c r="R48" s="99"/>
    </row>
    <row r="49" spans="1:18" ht="16.5" customHeight="1" thickBot="1">
      <c r="A49" s="17"/>
      <c r="B49" s="158" t="s">
        <v>55</v>
      </c>
      <c r="C49" s="159"/>
      <c r="D49" s="129">
        <v>12</v>
      </c>
      <c r="E49" s="130" t="s">
        <v>42</v>
      </c>
      <c r="F49" s="131">
        <f>+D49/D26</f>
        <v>18.36</v>
      </c>
      <c r="G49" s="132" t="s">
        <v>38</v>
      </c>
      <c r="H49" s="18"/>
      <c r="I49" s="127" t="s">
        <v>50</v>
      </c>
      <c r="J49" s="133">
        <f>+$D$42/($D$40*($F$44+$F$45))</f>
        <v>3.3333333333333335</v>
      </c>
      <c r="K49" s="126"/>
      <c r="O49" s="99"/>
      <c r="P49" s="99"/>
      <c r="Q49" s="99"/>
      <c r="R49" s="99"/>
    </row>
    <row r="50" spans="1:15" ht="16.5" customHeight="1" thickTop="1">
      <c r="A50" s="17"/>
      <c r="B50" s="134"/>
      <c r="C50" s="102"/>
      <c r="D50" s="135" t="s">
        <v>68</v>
      </c>
      <c r="E50" s="136"/>
      <c r="F50" s="81">
        <f>SUM(F44:F49)</f>
        <v>75.303</v>
      </c>
      <c r="G50" s="137" t="s">
        <v>38</v>
      </c>
      <c r="H50" s="18"/>
      <c r="I50" s="18"/>
      <c r="J50" s="18"/>
      <c r="K50" s="84"/>
      <c r="O50" s="49"/>
    </row>
    <row r="51" spans="1:15" ht="16.5" customHeight="1">
      <c r="A51" s="17"/>
      <c r="B51" s="85"/>
      <c r="C51" s="138"/>
      <c r="D51" s="139"/>
      <c r="E51" s="139"/>
      <c r="F51" s="87">
        <f>D26*F50</f>
        <v>49.21764705882353</v>
      </c>
      <c r="G51" s="140" t="s">
        <v>42</v>
      </c>
      <c r="H51" s="18"/>
      <c r="I51" s="18"/>
      <c r="J51" s="18"/>
      <c r="K51" s="84"/>
      <c r="O51" s="49"/>
    </row>
    <row r="52" spans="1:11" ht="16.5" customHeight="1">
      <c r="A52" s="17"/>
      <c r="B52" s="18"/>
      <c r="C52" s="18"/>
      <c r="D52" s="21"/>
      <c r="E52" s="21"/>
      <c r="F52" s="18"/>
      <c r="G52" s="83"/>
      <c r="H52" s="18"/>
      <c r="I52" s="18"/>
      <c r="J52" s="18"/>
      <c r="K52" s="141"/>
    </row>
    <row r="53" spans="1:11" ht="16.5" customHeight="1">
      <c r="A53" s="17"/>
      <c r="B53" s="18"/>
      <c r="C53" s="174" t="s">
        <v>69</v>
      </c>
      <c r="D53" s="175"/>
      <c r="E53" s="176"/>
      <c r="F53" s="142">
        <f>+F50+D36</f>
        <v>114.633</v>
      </c>
      <c r="G53" s="143" t="s">
        <v>38</v>
      </c>
      <c r="H53" s="18"/>
      <c r="I53" s="171" t="s">
        <v>100</v>
      </c>
      <c r="J53" s="171"/>
      <c r="K53" s="23"/>
    </row>
    <row r="54" spans="1:11" ht="16.5" customHeight="1">
      <c r="A54" s="17"/>
      <c r="B54" s="18"/>
      <c r="C54" s="177"/>
      <c r="D54" s="178"/>
      <c r="E54" s="179"/>
      <c r="F54" s="142">
        <f>+F51+D37</f>
        <v>74.9235294117647</v>
      </c>
      <c r="G54" s="144" t="s">
        <v>42</v>
      </c>
      <c r="H54" s="18"/>
      <c r="I54" s="145">
        <f>+D40/D26</f>
        <v>1530</v>
      </c>
      <c r="J54" s="146" t="s">
        <v>101</v>
      </c>
      <c r="K54" s="23"/>
    </row>
    <row r="55" spans="1:11" ht="16.5" customHeight="1">
      <c r="A55" s="17"/>
      <c r="B55" s="18"/>
      <c r="C55" s="18"/>
      <c r="D55" s="18"/>
      <c r="E55" s="18"/>
      <c r="F55" s="18"/>
      <c r="G55" s="18"/>
      <c r="H55" s="18"/>
      <c r="I55" s="18"/>
      <c r="J55" s="147"/>
      <c r="K55" s="148"/>
    </row>
    <row r="56" spans="1:11" ht="16.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49"/>
    </row>
    <row r="57" spans="1:11" ht="16.5" customHeight="1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2"/>
    </row>
    <row r="58" spans="11:12" ht="16.5" customHeight="1">
      <c r="K58" s="49"/>
      <c r="L58" s="49"/>
    </row>
    <row r="59" spans="11:12" ht="16.5" customHeight="1">
      <c r="K59" s="49"/>
      <c r="L59" s="49"/>
    </row>
    <row r="60" spans="11:12" ht="13.5">
      <c r="K60" s="49"/>
      <c r="L60" s="49"/>
    </row>
    <row r="61" spans="11:12" ht="13.5">
      <c r="K61" s="49"/>
      <c r="L61" s="49"/>
    </row>
    <row r="62" spans="11:12" ht="13.5">
      <c r="K62" s="49"/>
      <c r="L62" s="49"/>
    </row>
    <row r="63" spans="11:12" ht="13.5" customHeight="1">
      <c r="K63" s="49"/>
      <c r="L63" s="49"/>
    </row>
    <row r="64" spans="11:12" ht="15.75" customHeight="1">
      <c r="K64" s="49"/>
      <c r="L64" s="49"/>
    </row>
    <row r="65" spans="11:12" ht="13.5">
      <c r="K65" s="49"/>
      <c r="L65" s="49"/>
    </row>
    <row r="66" spans="11:12" ht="13.5">
      <c r="K66" s="49"/>
      <c r="L66" s="49"/>
    </row>
    <row r="67" spans="11:12" ht="13.5">
      <c r="K67" s="49"/>
      <c r="L67" s="49"/>
    </row>
    <row r="68" spans="11:12" ht="13.5">
      <c r="K68" s="49"/>
      <c r="L68" s="49"/>
    </row>
    <row r="69" spans="11:12" ht="13.5">
      <c r="K69" s="49"/>
      <c r="L69" s="49"/>
    </row>
    <row r="70" spans="11:12" ht="13.5">
      <c r="K70" s="153"/>
      <c r="L70" s="49"/>
    </row>
    <row r="71" spans="11:12" ht="13.5">
      <c r="K71" s="153"/>
      <c r="L71" s="49"/>
    </row>
    <row r="72" spans="11:12" ht="13.5">
      <c r="K72" s="153"/>
      <c r="L72" s="49"/>
    </row>
    <row r="73" spans="11:12" ht="13.5">
      <c r="K73" s="49"/>
      <c r="L73" s="49"/>
    </row>
    <row r="74" spans="11:12" ht="13.5">
      <c r="K74" s="49"/>
      <c r="L74" s="49"/>
    </row>
  </sheetData>
  <sheetProtection/>
  <mergeCells count="36">
    <mergeCell ref="I53:J53"/>
    <mergeCell ref="M18:M19"/>
    <mergeCell ref="B26:C26"/>
    <mergeCell ref="C53:E54"/>
    <mergeCell ref="B29:C29"/>
    <mergeCell ref="B31:C31"/>
    <mergeCell ref="I47:J47"/>
    <mergeCell ref="B35:C35"/>
    <mergeCell ref="B39:C39"/>
    <mergeCell ref="B40:C40"/>
    <mergeCell ref="M10:N10"/>
    <mergeCell ref="I21:J21"/>
    <mergeCell ref="I31:J31"/>
    <mergeCell ref="I26:J26"/>
    <mergeCell ref="M22:N22"/>
    <mergeCell ref="I12:J12"/>
    <mergeCell ref="B13:C13"/>
    <mergeCell ref="M15:M16"/>
    <mergeCell ref="B33:C33"/>
    <mergeCell ref="B30:C30"/>
    <mergeCell ref="B24:C24"/>
    <mergeCell ref="I17:J17"/>
    <mergeCell ref="B14:C14"/>
    <mergeCell ref="B20:C20"/>
    <mergeCell ref="B23:C23"/>
    <mergeCell ref="B21:C21"/>
    <mergeCell ref="I36:J36"/>
    <mergeCell ref="B48:C48"/>
    <mergeCell ref="B49:C49"/>
    <mergeCell ref="B44:C44"/>
    <mergeCell ref="B45:C45"/>
    <mergeCell ref="B46:C46"/>
    <mergeCell ref="B42:C42"/>
    <mergeCell ref="I42:J42"/>
    <mergeCell ref="B47:C47"/>
    <mergeCell ref="F39:G39"/>
  </mergeCells>
  <conditionalFormatting sqref="J32:J34">
    <cfRule type="cellIs" priority="1" dxfId="0" operator="equal" stopIfTrue="1">
      <formula>$D$30</formula>
    </cfRule>
  </conditionalFormatting>
  <conditionalFormatting sqref="J22:J24 N17:O17">
    <cfRule type="cellIs" priority="2" dxfId="0" operator="equal" stopIfTrue="1">
      <formula>$D$14</formula>
    </cfRule>
  </conditionalFormatting>
  <conditionalFormatting sqref="J13:J15">
    <cfRule type="cellIs" priority="3" dxfId="0" operator="equal" stopIfTrue="1">
      <formula>$D$13</formula>
    </cfRule>
  </conditionalFormatting>
  <conditionalFormatting sqref="J27:J29">
    <cfRule type="cellIs" priority="4" dxfId="0" operator="equal" stopIfTrue="1">
      <formula>$D$24</formula>
    </cfRule>
  </conditionalFormatting>
  <conditionalFormatting sqref="J43:J45">
    <cfRule type="cellIs" priority="5" dxfId="0" operator="equal" stopIfTrue="1">
      <formula>$D$40</formula>
    </cfRule>
  </conditionalFormatting>
  <conditionalFormatting sqref="J18:J19 J25">
    <cfRule type="cellIs" priority="6" dxfId="0" operator="equal" stopIfTrue="1">
      <formula>#REF!</formula>
    </cfRule>
  </conditionalFormatting>
  <conditionalFormatting sqref="J38">
    <cfRule type="expression" priority="7" dxfId="0" stopIfTrue="1">
      <formula>$D$30=25</formula>
    </cfRule>
  </conditionalFormatting>
  <conditionalFormatting sqref="J39">
    <cfRule type="expression" priority="8" dxfId="0" stopIfTrue="1">
      <formula>$D$30=50</formula>
    </cfRule>
  </conditionalFormatting>
  <conditionalFormatting sqref="J40">
    <cfRule type="expression" priority="9" dxfId="0" stopIfTrue="1">
      <formula>$D$30=75</formula>
    </cfRule>
  </conditionalFormatting>
  <conditionalFormatting sqref="M25:M26 N23:N26">
    <cfRule type="cellIs" priority="10" dxfId="0" operator="equal" stopIfTrue="1">
      <formula>#REF!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8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4"/>
    </row>
    <row r="8" s="1" customFormat="1" ht="12.75">
      <c r="A8" s="4"/>
    </row>
    <row r="9" spans="1:24" ht="12.75">
      <c r="A9" s="5" t="s">
        <v>91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4" t="s">
        <v>70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4" t="s">
        <v>92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4" t="s">
        <v>81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>
      <c r="A14" s="4" t="s">
        <v>84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>
      <c r="A15" s="4" t="s">
        <v>93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7" customHeight="1">
      <c r="A16" s="4" t="s">
        <v>94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7" customHeight="1">
      <c r="A17" s="4" t="s">
        <v>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 customHeight="1">
      <c r="A18" s="4" t="s">
        <v>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4.75" customHeight="1">
      <c r="A19" s="4" t="s">
        <v>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4" t="s">
        <v>87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4" t="s">
        <v>71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4" t="s">
        <v>86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75" customHeight="1">
      <c r="A25" s="4" t="s">
        <v>76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4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4" t="s">
        <v>96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4" t="s">
        <v>77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7" t="s">
        <v>102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4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4" t="s">
        <v>79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4" t="s">
        <v>95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  <row r="82" s="1" customFormat="1" ht="12.75">
      <c r="A82" s="2"/>
    </row>
    <row r="83" s="1" customFormat="1" ht="12.75">
      <c r="A83" s="2"/>
    </row>
    <row r="84" s="1" customFormat="1" ht="12.75">
      <c r="A84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2008-09-10T11:28:39Z</cp:lastPrinted>
  <dcterms:created xsi:type="dcterms:W3CDTF">2006-06-06T08:15:00Z</dcterms:created>
  <dcterms:modified xsi:type="dcterms:W3CDTF">2014-06-27T08:54:56Z</dcterms:modified>
  <cp:category/>
  <cp:version/>
  <cp:contentType/>
  <cp:contentStatus/>
</cp:coreProperties>
</file>